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8070" firstSheet="5" activeTab="5"/>
  </bookViews>
  <sheets>
    <sheet name="Datos para equilibrio" sheetId="1" r:id="rId1"/>
    <sheet name="Equilibrio" sheetId="2" r:id="rId2"/>
    <sheet name="Base de Datos" sheetId="3" r:id="rId3"/>
    <sheet name="Datos del usuario" sheetId="4" r:id="rId4"/>
    <sheet name="Líneas de Tendencia" sheetId="5" r:id="rId5"/>
    <sheet name="Resolución McCabe-Thiele" sheetId="6" r:id="rId6"/>
    <sheet name="__Solver__" sheetId="8" state="hidden" r:id="rId7"/>
  </sheets>
  <definedNames>
    <definedName name="A.1">Equilibrio!$C$12</definedName>
    <definedName name="A.12">Equilibrio!$B$17</definedName>
    <definedName name="A.2">Equilibrio!$C$13</definedName>
    <definedName name="A.21">Equilibrio!$B$18</definedName>
    <definedName name="Ago.b">'Líneas de Tendencia'!$C$200</definedName>
    <definedName name="Ago.m">'Líneas de Tendencia'!$D$200</definedName>
    <definedName name="Ago.xq">'Líneas de Tendencia'!$B$199</definedName>
    <definedName name="Ago.yq">'Líneas de Tendencia'!$L$199</definedName>
    <definedName name="Alimentacion">'Resolución McCabe-Thiele'!$C$21</definedName>
    <definedName name="AntoineAguaA">'Datos para equilibrio'!$I$5</definedName>
    <definedName name="AntoineAguaB">'Datos para equilibrio'!$J$5</definedName>
    <definedName name="AntoineAguaC">'Datos para equilibrio'!$K$5</definedName>
    <definedName name="B.1">Equilibrio!$D$12</definedName>
    <definedName name="B.2">Equilibrio!$D$13</definedName>
    <definedName name="C.1">Equilibrio!$E$12</definedName>
    <definedName name="C.2">Equilibrio!$E$13</definedName>
    <definedName name="CLat.F1">'Resolución McCabe-Thiele'!$X$40</definedName>
    <definedName name="CLat.F2">'Resolución McCabe-Thiele'!$X$41</definedName>
    <definedName name="CLat.G1.1">'Resolución McCabe-Thiele'!$X$44</definedName>
    <definedName name="CLat.G1.2">'Resolución McCabe-Thiele'!$X$45</definedName>
    <definedName name="CLat.Gvapor1">'Resolución McCabe-Thiele'!$X$48</definedName>
    <definedName name="CLat.Gvapor2">'Resolución McCabe-Thiele'!$X$49</definedName>
    <definedName name="cpC1.1">'Resolución McCabe-Thiele'!$Q$34</definedName>
    <definedName name="cpC1.2">'Resolución McCabe-Thiele'!$R$34</definedName>
    <definedName name="cpC1.3">'Resolución McCabe-Thiele'!$S$34</definedName>
    <definedName name="cpC1.4">'Resolución McCabe-Thiele'!$T$34</definedName>
    <definedName name="cpC1.5">'Resolución McCabe-Thiele'!$U$34</definedName>
    <definedName name="cpC2.1">'Resolución McCabe-Thiele'!$Q$35</definedName>
    <definedName name="cpC2.2">'Resolución McCabe-Thiele'!$R$35</definedName>
    <definedName name="cpC2.3">'Resolución McCabe-Thiele'!$S$35</definedName>
    <definedName name="cpC2.4">'Resolución McCabe-Thiele'!$T$35</definedName>
    <definedName name="cpC2.5">'Resolución McCabe-Thiele'!$U$35</definedName>
    <definedName name="CpL.1">'Resolución McCabe-Thiele'!$W$34</definedName>
    <definedName name="CpL.2">'Resolución McCabe-Thiele'!$W$35</definedName>
    <definedName name="Datos.sistemas">'Datos para equilibrio'!$A$5:$K$23</definedName>
    <definedName name="Datos.sistemas.2">'Datos para equilibrio'!$A$32:$M$47</definedName>
    <definedName name="Em">'Líneas de Tendencia'!$D$301</definedName>
    <definedName name="Em.tipo">'Resolución McCabe-Thiele'!$I$91</definedName>
    <definedName name="Em.user">'Resolución McCabe-Thiele'!$J$93</definedName>
    <definedName name="En.b">'Líneas de Tendencia'!$C$197</definedName>
    <definedName name="En.m">'Líneas de Tendencia'!$D$197</definedName>
    <definedName name="EnRm.b">'Líneas de Tendencia'!$C$194</definedName>
    <definedName name="EnRm.m">'Líneas de Tendencia'!$D$194</definedName>
    <definedName name="EnRmOcultar">'Resolución McCabe-Thiele'!$I$89</definedName>
    <definedName name="Etapa.Alim">'Líneas de Tendencia'!$P$300</definedName>
    <definedName name="F.user">'Resolución McCabe-Thiele'!$G$11</definedName>
    <definedName name="F_alim">'Resolución McCabe-Thiele'!$C$118</definedName>
    <definedName name="H.D">'Resolución McCabe-Thiele'!$I$48</definedName>
    <definedName name="H.G">'Resolución McCabe-Thiele'!$I$63</definedName>
    <definedName name="H.G1">'Resolución McCabe-Thiele'!$I$56</definedName>
    <definedName name="H.W">'Resolución McCabe-Thiele'!$I$41</definedName>
    <definedName name="Hf">'Resolución McCabe-Thiele'!$I$33</definedName>
    <definedName name="HfG">'Resolución McCabe-Thiele'!$I$34</definedName>
    <definedName name="HfL">'Resolución McCabe-Thiele'!$I$32</definedName>
    <definedName name="M.1">'Resolución McCabe-Thiele'!$P$27</definedName>
    <definedName name="M.2">'Resolución McCabe-Thiele'!$P$28</definedName>
    <definedName name="m10T">'Líneas de Tendencia'!$B$68</definedName>
    <definedName name="m10y">'Líneas de Tendencia'!$B$115</definedName>
    <definedName name="m1T">'Líneas de Tendencia'!$K$68</definedName>
    <definedName name="m1y">'Líneas de Tendencia'!$K$115</definedName>
    <definedName name="m2T">'Líneas de Tendencia'!$J$68</definedName>
    <definedName name="m2y">'Líneas de Tendencia'!$J$115</definedName>
    <definedName name="m3T">'Líneas de Tendencia'!$I$68</definedName>
    <definedName name="m3y">'Líneas de Tendencia'!$I$115</definedName>
    <definedName name="m4T">'Líneas de Tendencia'!$H$68</definedName>
    <definedName name="m4y">'Líneas de Tendencia'!$H$115</definedName>
    <definedName name="m5T">'Líneas de Tendencia'!$G$68</definedName>
    <definedName name="m5y">'Líneas de Tendencia'!$G$115</definedName>
    <definedName name="m6T">'Líneas de Tendencia'!$F$68</definedName>
    <definedName name="m6y">'Líneas de Tendencia'!$F$115</definedName>
    <definedName name="m7T">'Líneas de Tendencia'!$E$68</definedName>
    <definedName name="m7y">'Líneas de Tendencia'!$E$115</definedName>
    <definedName name="m8T">'Líneas de Tendencia'!$D$68</definedName>
    <definedName name="m8y">'Líneas de Tendencia'!$D$115</definedName>
    <definedName name="m9T">'Líneas de Tendencia'!$C$68</definedName>
    <definedName name="m9y">'Líneas de Tendencia'!$C$115</definedName>
    <definedName name="mbT">'Líneas de Tendencia'!$L$68</definedName>
    <definedName name="mby">'Líneas de Tendencia'!$L$115</definedName>
    <definedName name="Mostrar.Nm">'Resolución McCabe-Thiele'!$I$86</definedName>
    <definedName name="Mostrar.Pseudoeq">'Resolución McCabe-Thiele'!$I$103</definedName>
    <definedName name="Nm">'Líneas de Tendencia'!$D$204</definedName>
    <definedName name="Np">'Líneas de Tendencia'!$C$301</definedName>
    <definedName name="P.trabTorr">Equilibrio!$B$25</definedName>
    <definedName name="Paso.q">'Líneas de Tendencia'!$C$180</definedName>
    <definedName name="presion">'Resolución McCabe-Thiele'!$E$5</definedName>
    <definedName name="q">'Resolución McCabe-Thiele'!$C$68</definedName>
    <definedName name="q.equilibrio.tan">'Resolución McCabe-Thiele'!$F$71</definedName>
    <definedName name="qb">'Resolución McCabe-Thiele'!$C$70</definedName>
    <definedName name="qm">'Resolución McCabe-Thiele'!$C$69</definedName>
    <definedName name="Qt">'Resolución McCabe-Thiele'!$C$119</definedName>
    <definedName name="Qt.user">'Resolución McCabe-Thiele'!$G$13</definedName>
    <definedName name="RelRefl">'Resolución McCabe-Thiele'!$J$81</definedName>
    <definedName name="Rmin">'Resolución McCabe-Thiele'!$C$74</definedName>
    <definedName name="SISTEMA">'Resolución McCabe-Thiele'!$B$5</definedName>
    <definedName name="T.ref">'Resolución McCabe-Thiele'!$V$31</definedName>
    <definedName name="Tangencia">'Resolución McCabe-Thiele'!$E$68</definedName>
    <definedName name="Tc.1">'Resolución McCabe-Thiele'!$U$40</definedName>
    <definedName name="Tc.2">'Resolución McCabe-Thiele'!$U$41</definedName>
    <definedName name="TipoDest">'Resolución McCabe-Thiele'!$C$19</definedName>
    <definedName name="Tr.1">'Resolución McCabe-Thiele'!$V$40</definedName>
    <definedName name="Tr.2">'Resolución McCabe-Thiele'!$V$41</definedName>
    <definedName name="Tsat.D">'Resolución McCabe-Thiele'!$I$46</definedName>
    <definedName name="Tsat.F">'Resolución McCabe-Thiele'!$I$29</definedName>
    <definedName name="Tsat.G">'Resolución McCabe-Thiele'!$I$60</definedName>
    <definedName name="Tsat.G1">'Resolución McCabe-Thiele'!$I$53</definedName>
    <definedName name="Tsat.W">'Resolución McCabe-Thiele'!$I$39</definedName>
    <definedName name="U1.LTc">'Datos del usuario'!$I$39</definedName>
    <definedName name="U1C1">'Datos del usuario'!$E$33</definedName>
    <definedName name="U1C2">'Datos del usuario'!$F$33</definedName>
    <definedName name="U1C3">'Datos del usuario'!$G$33</definedName>
    <definedName name="U1C4">'Datos del usuario'!$H$33</definedName>
    <definedName name="U1C5">'Datos del usuario'!$I$33</definedName>
    <definedName name="U1L1">'Datos del usuario'!$E$39</definedName>
    <definedName name="U1L2">'Datos del usuario'!$F$39</definedName>
    <definedName name="U1L3">'Datos del usuario'!$G$39</definedName>
    <definedName name="U1L4">'Datos del usuario'!$H$39</definedName>
    <definedName name="U2.LTc">'Datos del usuario'!$I$40</definedName>
    <definedName name="U2C1">'Datos del usuario'!$E$34</definedName>
    <definedName name="U2C2">'Datos del usuario'!$F$34</definedName>
    <definedName name="U2C3">'Datos del usuario'!$G$34</definedName>
    <definedName name="U2C4">'Datos del usuario'!$H$34</definedName>
    <definedName name="U2C5">'Datos del usuario'!$I$34</definedName>
    <definedName name="U2L1">'Datos del usuario'!$E$40</definedName>
    <definedName name="U2L2">'Datos del usuario'!$F$40</definedName>
    <definedName name="U2L3">'Datos del usuario'!$G$40</definedName>
    <definedName name="U2L4">'Datos del usuario'!$H$40</definedName>
    <definedName name="User.Comp1">'Datos del usuario'!$D$7</definedName>
    <definedName name="User.Comp2">'Datos del usuario'!$D$8</definedName>
    <definedName name="User.M1">'Datos del usuario'!$D$27</definedName>
    <definedName name="User.M2">'Datos del usuario'!$D$28</definedName>
    <definedName name="User.Ptrab">'Datos del usuario'!$D$30</definedName>
    <definedName name="x.ascendente">'Líneas de Tendencia'!$B$138:$B$178</definedName>
    <definedName name="x.descendente">'Líneas de Tendencia'!$D$138:$D$178</definedName>
    <definedName name="xD">'Resolución McCabe-Thiele'!$I$45</definedName>
    <definedName name="xD.user">'Resolución McCabe-Thiele'!$C$13</definedName>
    <definedName name="xW">'Resolución McCabe-Thiele'!$I$38</definedName>
    <definedName name="xW.user">'Resolución McCabe-Thiele'!$C$15</definedName>
    <definedName name="y.ascendente">'Líneas de Tendencia'!$A$138:$A$178</definedName>
    <definedName name="y.descendente">'Líneas de Tendencia'!$C$138:$C$178</definedName>
    <definedName name="y.G1">'Resolución McCabe-Thiele'!$I$52</definedName>
    <definedName name="yG">'Resolución McCabe-Thiele'!$I$59</definedName>
    <definedName name="zF">'Resolución McCabe-Thiele'!$I$28</definedName>
    <definedName name="zF.user">'Resolución McCabe-Thiele'!$C$11</definedName>
  </definedNames>
  <calcPr calcId="145621"/>
</workbook>
</file>

<file path=xl/calcChain.xml><?xml version="1.0" encoding="utf-8"?>
<calcChain xmlns="http://schemas.openxmlformats.org/spreadsheetml/2006/main">
  <c r="D301" i="5" l="1"/>
  <c r="N301" i="5"/>
  <c r="B301" i="5"/>
  <c r="B181" i="5"/>
  <c r="T41" i="6"/>
  <c r="S41" i="6"/>
  <c r="R41" i="6"/>
  <c r="Q41" i="6"/>
  <c r="T40" i="6"/>
  <c r="S40" i="6"/>
  <c r="R40" i="6"/>
  <c r="Q40" i="6"/>
  <c r="U35" i="6" l="1"/>
  <c r="T35" i="6"/>
  <c r="S35" i="6"/>
  <c r="R35" i="6"/>
  <c r="Q35" i="6"/>
  <c r="U34" i="6"/>
  <c r="T34" i="6"/>
  <c r="S34" i="6"/>
  <c r="R34" i="6"/>
  <c r="Q34" i="6"/>
  <c r="Q5" i="5" l="1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38" i="5"/>
  <c r="B194" i="5"/>
  <c r="H23" i="6" l="1"/>
  <c r="F23" i="6"/>
  <c r="F21" i="6"/>
  <c r="U7" i="6"/>
  <c r="T7" i="6"/>
  <c r="S7" i="6"/>
  <c r="K93" i="6"/>
  <c r="I93" i="6"/>
  <c r="E70" i="6"/>
  <c r="H21" i="6"/>
  <c r="I6" i="3"/>
  <c r="J6" i="3"/>
  <c r="K6" i="3"/>
  <c r="I7" i="3"/>
  <c r="J7" i="3"/>
  <c r="K7" i="3"/>
  <c r="I8" i="3"/>
  <c r="J8" i="3"/>
  <c r="K8" i="3"/>
  <c r="I9" i="3"/>
  <c r="J9" i="3"/>
  <c r="K9" i="3"/>
  <c r="I10" i="3"/>
  <c r="J10" i="3"/>
  <c r="K10" i="3"/>
  <c r="I11" i="3"/>
  <c r="J11" i="3"/>
  <c r="K11" i="3"/>
  <c r="I12" i="3"/>
  <c r="J12" i="3"/>
  <c r="K12" i="3"/>
  <c r="I13" i="3"/>
  <c r="J13" i="3"/>
  <c r="K13" i="3"/>
  <c r="I14" i="3"/>
  <c r="J14" i="3"/>
  <c r="K14" i="3"/>
  <c r="I15" i="3"/>
  <c r="J15" i="3"/>
  <c r="K15" i="3"/>
  <c r="I16" i="3"/>
  <c r="J16" i="3"/>
  <c r="K16" i="3"/>
  <c r="I17" i="3"/>
  <c r="J17" i="3"/>
  <c r="K17" i="3"/>
  <c r="I18" i="3"/>
  <c r="J18" i="3"/>
  <c r="K18" i="3"/>
  <c r="I19" i="3"/>
  <c r="J19" i="3"/>
  <c r="K19" i="3"/>
  <c r="I20" i="3"/>
  <c r="J20" i="3"/>
  <c r="K20" i="3"/>
  <c r="I21" i="3"/>
  <c r="J21" i="3"/>
  <c r="K21" i="3"/>
  <c r="I22" i="3"/>
  <c r="J22" i="3"/>
  <c r="K22" i="3"/>
  <c r="I23" i="3"/>
  <c r="J23" i="3"/>
  <c r="K23" i="3"/>
  <c r="I24" i="3"/>
  <c r="J24" i="3"/>
  <c r="K24" i="3"/>
  <c r="I25" i="3"/>
  <c r="J25" i="3"/>
  <c r="K25" i="3"/>
  <c r="K5" i="3"/>
  <c r="J5" i="3"/>
  <c r="I5" i="3"/>
  <c r="B3" i="8"/>
  <c r="G135" i="6"/>
  <c r="I134" i="6"/>
  <c r="K132" i="6"/>
  <c r="K131" i="6"/>
  <c r="I131" i="6"/>
  <c r="E126" i="6"/>
  <c r="D126" i="6"/>
  <c r="E124" i="6"/>
  <c r="E123" i="6"/>
  <c r="C119" i="6"/>
  <c r="C118" i="6"/>
  <c r="J86" i="6"/>
  <c r="J79" i="6"/>
  <c r="I78" i="6"/>
  <c r="B75" i="6"/>
  <c r="J63" i="6"/>
  <c r="H63" i="6"/>
  <c r="J62" i="6"/>
  <c r="H62" i="6"/>
  <c r="J61" i="6"/>
  <c r="H61" i="6"/>
  <c r="J60" i="6"/>
  <c r="I60" i="6"/>
  <c r="H60" i="6"/>
  <c r="J59" i="6"/>
  <c r="I59" i="6"/>
  <c r="E125" i="6" s="1"/>
  <c r="H59" i="6"/>
  <c r="H58" i="6"/>
  <c r="G46" i="6"/>
  <c r="I45" i="6"/>
  <c r="G184" i="5" s="1"/>
  <c r="G39" i="6"/>
  <c r="I38" i="6"/>
  <c r="O28" i="6"/>
  <c r="I28" i="6"/>
  <c r="O27" i="6"/>
  <c r="P27" i="6" s="1"/>
  <c r="B6" i="6"/>
  <c r="D300" i="5"/>
  <c r="C300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A65" i="5"/>
  <c r="A43" i="5"/>
  <c r="B5" i="5"/>
  <c r="C40" i="4"/>
  <c r="C39" i="4"/>
  <c r="C34" i="4"/>
  <c r="C33" i="4"/>
  <c r="C28" i="4"/>
  <c r="J27" i="4"/>
  <c r="C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E24" i="3"/>
  <c r="D24" i="3"/>
  <c r="E23" i="3"/>
  <c r="D23" i="3"/>
  <c r="E22" i="3"/>
  <c r="D22" i="3"/>
  <c r="E21" i="3"/>
  <c r="D21" i="3"/>
  <c r="E20" i="3"/>
  <c r="D20" i="3"/>
  <c r="E19" i="3"/>
  <c r="D19" i="3"/>
  <c r="E18" i="3"/>
  <c r="D18" i="3"/>
  <c r="E17" i="3"/>
  <c r="D17" i="3"/>
  <c r="E16" i="3"/>
  <c r="D16" i="3"/>
  <c r="E15" i="3"/>
  <c r="D15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M6" i="3"/>
  <c r="E6" i="3"/>
  <c r="D6" i="3"/>
  <c r="M5" i="3"/>
  <c r="E5" i="3"/>
  <c r="D5" i="3"/>
  <c r="N52" i="2"/>
  <c r="B52" i="2"/>
  <c r="N51" i="2"/>
  <c r="B51" i="2"/>
  <c r="N50" i="2"/>
  <c r="B50" i="2"/>
  <c r="N49" i="2"/>
  <c r="B49" i="2"/>
  <c r="N48" i="2"/>
  <c r="B48" i="2"/>
  <c r="N47" i="2"/>
  <c r="B47" i="2"/>
  <c r="N46" i="2"/>
  <c r="B46" i="2"/>
  <c r="N45" i="2"/>
  <c r="B45" i="2"/>
  <c r="N44" i="2"/>
  <c r="B44" i="2"/>
  <c r="N43" i="2"/>
  <c r="B43" i="2"/>
  <c r="N42" i="2"/>
  <c r="G42" i="2"/>
  <c r="B42" i="2"/>
  <c r="N41" i="2"/>
  <c r="B41" i="2"/>
  <c r="N40" i="2"/>
  <c r="B40" i="2"/>
  <c r="N39" i="2"/>
  <c r="B39" i="2"/>
  <c r="N38" i="2"/>
  <c r="B38" i="2"/>
  <c r="N37" i="2"/>
  <c r="B37" i="2"/>
  <c r="N36" i="2"/>
  <c r="B36" i="2"/>
  <c r="N35" i="2"/>
  <c r="B35" i="2"/>
  <c r="N34" i="2"/>
  <c r="B34" i="2"/>
  <c r="N33" i="2"/>
  <c r="B33" i="2"/>
  <c r="N32" i="2"/>
  <c r="B32" i="2"/>
  <c r="B26" i="2"/>
  <c r="B25" i="2"/>
  <c r="B18" i="2"/>
  <c r="B17" i="2"/>
  <c r="C52" i="2" s="1"/>
  <c r="E13" i="2"/>
  <c r="D13" i="2"/>
  <c r="C13" i="2"/>
  <c r="G38" i="2" s="1"/>
  <c r="A13" i="2"/>
  <c r="E12" i="2"/>
  <c r="D12" i="2"/>
  <c r="C12" i="2"/>
  <c r="A12" i="2"/>
  <c r="H40" i="1"/>
  <c r="B200" i="5" l="1"/>
  <c r="P401" i="5"/>
  <c r="I52" i="6"/>
  <c r="B203" i="5"/>
  <c r="B180" i="5"/>
  <c r="B189" i="5"/>
  <c r="B202" i="5"/>
  <c r="F180" i="5"/>
  <c r="B196" i="5"/>
  <c r="B184" i="5"/>
  <c r="K196" i="5"/>
  <c r="E5" i="5"/>
  <c r="J192" i="5"/>
  <c r="C192" i="5"/>
  <c r="D192" i="5"/>
  <c r="B192" i="5"/>
  <c r="H187" i="5"/>
  <c r="B190" i="5"/>
  <c r="L200" i="5"/>
  <c r="F125" i="6"/>
  <c r="M202" i="5"/>
  <c r="B186" i="5"/>
  <c r="B183" i="5"/>
  <c r="B187" i="5"/>
  <c r="I190" i="5"/>
  <c r="F124" i="6"/>
  <c r="G46" i="2"/>
  <c r="F32" i="2"/>
  <c r="F34" i="2"/>
  <c r="G33" i="2"/>
  <c r="C35" i="2"/>
  <c r="C37" i="2"/>
  <c r="C49" i="2"/>
  <c r="G52" i="2"/>
  <c r="G51" i="2"/>
  <c r="G50" i="2"/>
  <c r="G49" i="2"/>
  <c r="G48" i="2"/>
  <c r="G47" i="2"/>
  <c r="G34" i="2"/>
  <c r="F35" i="2"/>
  <c r="G37" i="2"/>
  <c r="C40" i="2"/>
  <c r="C33" i="2"/>
  <c r="G35" i="2"/>
  <c r="G36" i="2"/>
  <c r="C39" i="2"/>
  <c r="G40" i="2"/>
  <c r="C43" i="2"/>
  <c r="G44" i="2"/>
  <c r="C47" i="2"/>
  <c r="C51" i="2"/>
  <c r="H51" i="2" s="1"/>
  <c r="C41" i="2"/>
  <c r="C45" i="2"/>
  <c r="F52" i="2"/>
  <c r="H52" i="2" s="1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D52" i="2"/>
  <c r="D51" i="2"/>
  <c r="I51" i="2" s="1"/>
  <c r="D50" i="2"/>
  <c r="I50" i="2" s="1"/>
  <c r="D49" i="2"/>
  <c r="I49" i="2" s="1"/>
  <c r="D48" i="2"/>
  <c r="D47" i="2"/>
  <c r="D46" i="2"/>
  <c r="I46" i="2" s="1"/>
  <c r="D45" i="2"/>
  <c r="D44" i="2"/>
  <c r="I44" i="2" s="1"/>
  <c r="D43" i="2"/>
  <c r="D42" i="2"/>
  <c r="I42" i="2" s="1"/>
  <c r="D41" i="2"/>
  <c r="D40" i="2"/>
  <c r="I40" i="2" s="1"/>
  <c r="D39" i="2"/>
  <c r="D38" i="2"/>
  <c r="I38" i="2" s="1"/>
  <c r="D37" i="2"/>
  <c r="D36" i="2"/>
  <c r="I36" i="2" s="1"/>
  <c r="D35" i="2"/>
  <c r="I35" i="2" s="1"/>
  <c r="D34" i="2"/>
  <c r="I34" i="2" s="1"/>
  <c r="D33" i="2"/>
  <c r="D32" i="2"/>
  <c r="C32" i="2"/>
  <c r="C36" i="2"/>
  <c r="G41" i="2"/>
  <c r="C44" i="2"/>
  <c r="G45" i="2"/>
  <c r="I45" i="2" s="1"/>
  <c r="I47" i="2"/>
  <c r="C50" i="2"/>
  <c r="H50" i="2" s="1"/>
  <c r="G32" i="2"/>
  <c r="F33" i="2"/>
  <c r="C34" i="2"/>
  <c r="H34" i="2" s="1"/>
  <c r="C38" i="2"/>
  <c r="H38" i="2" s="1"/>
  <c r="G39" i="2"/>
  <c r="I39" i="2" s="1"/>
  <c r="C42" i="2"/>
  <c r="H42" i="2" s="1"/>
  <c r="G43" i="2"/>
  <c r="C46" i="2"/>
  <c r="H46" i="2" s="1"/>
  <c r="C48" i="2"/>
  <c r="O41" i="6"/>
  <c r="F18" i="6"/>
  <c r="O35" i="6"/>
  <c r="O40" i="6"/>
  <c r="P28" i="6"/>
  <c r="O34" i="6"/>
  <c r="C125" i="6"/>
  <c r="D399" i="5"/>
  <c r="B125" i="6"/>
  <c r="C14" i="5"/>
  <c r="P402" i="5" l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Q302" i="5"/>
  <c r="H32" i="2"/>
  <c r="M203" i="5"/>
  <c r="M204" i="5" s="1"/>
  <c r="Q204" i="5"/>
  <c r="D14" i="5"/>
  <c r="A48" i="5" s="1"/>
  <c r="U12" i="6"/>
  <c r="I43" i="2"/>
  <c r="H41" i="2"/>
  <c r="I32" i="2"/>
  <c r="I48" i="2"/>
  <c r="I52" i="2"/>
  <c r="H39" i="2"/>
  <c r="I33" i="2"/>
  <c r="I37" i="2"/>
  <c r="I41" i="2"/>
  <c r="J52" i="2"/>
  <c r="K52" i="2" s="1"/>
  <c r="L52" i="2"/>
  <c r="M52" i="2" s="1"/>
  <c r="J51" i="2"/>
  <c r="K51" i="2" s="1"/>
  <c r="L51" i="2"/>
  <c r="M51" i="2" s="1"/>
  <c r="J38" i="2"/>
  <c r="K38" i="2" s="1"/>
  <c r="L38" i="2"/>
  <c r="M38" i="2" s="1"/>
  <c r="H36" i="2"/>
  <c r="H45" i="2"/>
  <c r="H43" i="2"/>
  <c r="H33" i="2"/>
  <c r="H35" i="2"/>
  <c r="J34" i="2"/>
  <c r="K34" i="2" s="1"/>
  <c r="L34" i="2"/>
  <c r="M34" i="2" s="1"/>
  <c r="H48" i="2"/>
  <c r="J42" i="2"/>
  <c r="K42" i="2" s="1"/>
  <c r="L42" i="2"/>
  <c r="M42" i="2" s="1"/>
  <c r="H44" i="2"/>
  <c r="L32" i="2"/>
  <c r="M32" i="2" s="1"/>
  <c r="H47" i="2"/>
  <c r="H40" i="2"/>
  <c r="H49" i="2"/>
  <c r="U40" i="6"/>
  <c r="J39" i="2"/>
  <c r="K39" i="2" s="1"/>
  <c r="L39" i="2"/>
  <c r="M39" i="2" s="1"/>
  <c r="U41" i="6"/>
  <c r="V49" i="6" s="1"/>
  <c r="W49" i="6"/>
  <c r="X49" i="6" s="1"/>
  <c r="I62" i="6" s="1"/>
  <c r="J46" i="2"/>
  <c r="K46" i="2" s="1"/>
  <c r="L46" i="2"/>
  <c r="M46" i="2" s="1"/>
  <c r="J50" i="2"/>
  <c r="K50" i="2" s="1"/>
  <c r="L50" i="2"/>
  <c r="M50" i="2" s="1"/>
  <c r="J41" i="2"/>
  <c r="K41" i="2" s="1"/>
  <c r="L41" i="2"/>
  <c r="M41" i="2" s="1"/>
  <c r="H37" i="2"/>
  <c r="B29" i="5"/>
  <c r="C27" i="5"/>
  <c r="C13" i="5"/>
  <c r="C23" i="5"/>
  <c r="C22" i="5"/>
  <c r="B12" i="5"/>
  <c r="A10" i="5"/>
  <c r="A30" i="5"/>
  <c r="C11" i="5"/>
  <c r="C29" i="5"/>
  <c r="B10" i="5"/>
  <c r="A29" i="5"/>
  <c r="B20" i="5"/>
  <c r="C15" i="5"/>
  <c r="B27" i="5"/>
  <c r="C19" i="5"/>
  <c r="A18" i="5"/>
  <c r="B22" i="5"/>
  <c r="C25" i="5"/>
  <c r="A26" i="5"/>
  <c r="A25" i="5"/>
  <c r="B19" i="5"/>
  <c r="A17" i="5"/>
  <c r="B24" i="5"/>
  <c r="A19" i="5"/>
  <c r="A11" i="5"/>
  <c r="B21" i="5"/>
  <c r="A22" i="5"/>
  <c r="B26" i="5"/>
  <c r="A13" i="5"/>
  <c r="A27" i="5"/>
  <c r="B30" i="5"/>
  <c r="C16" i="5"/>
  <c r="B28" i="5"/>
  <c r="C28" i="5"/>
  <c r="B25" i="5"/>
  <c r="B17" i="5"/>
  <c r="C30" i="5"/>
  <c r="B16" i="5"/>
  <c r="A28" i="5"/>
  <c r="C18" i="5"/>
  <c r="A14" i="5"/>
  <c r="A23" i="5"/>
  <c r="A20" i="5"/>
  <c r="B23" i="5"/>
  <c r="A24" i="5"/>
  <c r="B11" i="5"/>
  <c r="A16" i="5"/>
  <c r="A15" i="5"/>
  <c r="B18" i="5"/>
  <c r="A12" i="5"/>
  <c r="C20" i="5"/>
  <c r="C10" i="5"/>
  <c r="C21" i="5"/>
  <c r="C24" i="5"/>
  <c r="B13" i="5"/>
  <c r="C12" i="5"/>
  <c r="B15" i="5"/>
  <c r="C26" i="5"/>
  <c r="B14" i="5"/>
  <c r="C17" i="5"/>
  <c r="A21" i="5"/>
  <c r="J32" i="2" l="1"/>
  <c r="K32" i="2" s="1"/>
  <c r="T20" i="6"/>
  <c r="A102" i="5"/>
  <c r="S9" i="6"/>
  <c r="W9" i="6" s="1"/>
  <c r="B91" i="5"/>
  <c r="F91" i="5" s="1"/>
  <c r="E11" i="5"/>
  <c r="B45" i="5"/>
  <c r="C45" i="5" s="1"/>
  <c r="D18" i="5"/>
  <c r="A52" i="5" s="1"/>
  <c r="U16" i="6"/>
  <c r="D26" i="5"/>
  <c r="A60" i="5" s="1"/>
  <c r="U24" i="6"/>
  <c r="E14" i="5"/>
  <c r="B48" i="5"/>
  <c r="I48" i="5" s="1"/>
  <c r="B94" i="5"/>
  <c r="K94" i="5" s="1"/>
  <c r="S12" i="6"/>
  <c r="W12" i="6" s="1"/>
  <c r="A104" i="5"/>
  <c r="T22" i="6"/>
  <c r="B51" i="5"/>
  <c r="J51" i="5" s="1"/>
  <c r="S15" i="6"/>
  <c r="W15" i="6" s="1"/>
  <c r="E17" i="5"/>
  <c r="B97" i="5"/>
  <c r="F97" i="5" s="1"/>
  <c r="A95" i="5"/>
  <c r="T13" i="6"/>
  <c r="B102" i="5"/>
  <c r="D102" i="5" s="1"/>
  <c r="B56" i="5"/>
  <c r="H56" i="5" s="1"/>
  <c r="S20" i="6"/>
  <c r="W20" i="6" s="1"/>
  <c r="E22" i="5"/>
  <c r="A103" i="5"/>
  <c r="T21" i="6"/>
  <c r="B103" i="5"/>
  <c r="J103" i="5" s="1"/>
  <c r="B57" i="5"/>
  <c r="J57" i="5" s="1"/>
  <c r="S21" i="6"/>
  <c r="W21" i="6" s="1"/>
  <c r="E23" i="5"/>
  <c r="U9" i="6"/>
  <c r="D11" i="5"/>
  <c r="A45" i="5" s="1"/>
  <c r="A93" i="5"/>
  <c r="T11" i="6"/>
  <c r="U13" i="6"/>
  <c r="D15" i="5"/>
  <c r="A49" i="5" s="1"/>
  <c r="B55" i="5"/>
  <c r="E55" i="5" s="1"/>
  <c r="B101" i="5"/>
  <c r="H101" i="5" s="1"/>
  <c r="S19" i="6"/>
  <c r="W19" i="6" s="1"/>
  <c r="E21" i="5"/>
  <c r="A100" i="5"/>
  <c r="T18" i="6"/>
  <c r="D24" i="5"/>
  <c r="A58" i="5" s="1"/>
  <c r="U22" i="6"/>
  <c r="U23" i="6"/>
  <c r="D25" i="5"/>
  <c r="A59" i="5" s="1"/>
  <c r="T8" i="6"/>
  <c r="A90" i="5"/>
  <c r="U17" i="6"/>
  <c r="D19" i="5"/>
  <c r="A53" i="5" s="1"/>
  <c r="U27" i="6"/>
  <c r="D29" i="5"/>
  <c r="A63" i="5" s="1"/>
  <c r="D22" i="5"/>
  <c r="A56" i="5" s="1"/>
  <c r="U20" i="6"/>
  <c r="A91" i="5"/>
  <c r="T9" i="6"/>
  <c r="A109" i="5"/>
  <c r="T27" i="6"/>
  <c r="A92" i="5"/>
  <c r="T10" i="6"/>
  <c r="U15" i="6"/>
  <c r="D17" i="5"/>
  <c r="A51" i="5" s="1"/>
  <c r="S8" i="6"/>
  <c r="W8" i="6" s="1"/>
  <c r="E10" i="5"/>
  <c r="B90" i="5"/>
  <c r="K90" i="5" s="1"/>
  <c r="B44" i="5"/>
  <c r="J44" i="5" s="1"/>
  <c r="A101" i="5"/>
  <c r="T19" i="6"/>
  <c r="T26" i="6"/>
  <c r="A108" i="5"/>
  <c r="S13" i="6"/>
  <c r="W13" i="6" s="1"/>
  <c r="B95" i="5"/>
  <c r="G95" i="5" s="1"/>
  <c r="B49" i="5"/>
  <c r="J49" i="5" s="1"/>
  <c r="E15" i="5"/>
  <c r="U19" i="6"/>
  <c r="D21" i="5"/>
  <c r="A55" i="5" s="1"/>
  <c r="T16" i="6"/>
  <c r="A98" i="5"/>
  <c r="D30" i="5"/>
  <c r="A64" i="5" s="1"/>
  <c r="U28" i="6"/>
  <c r="U26" i="6"/>
  <c r="D28" i="5"/>
  <c r="A62" i="5" s="1"/>
  <c r="B47" i="5"/>
  <c r="G47" i="5" s="1"/>
  <c r="B93" i="5"/>
  <c r="D93" i="5" s="1"/>
  <c r="E13" i="5"/>
  <c r="S11" i="6"/>
  <c r="W11" i="6" s="1"/>
  <c r="D20" i="5"/>
  <c r="A54" i="5" s="1"/>
  <c r="U18" i="6"/>
  <c r="U11" i="6"/>
  <c r="D13" i="5"/>
  <c r="A47" i="5" s="1"/>
  <c r="A110" i="5"/>
  <c r="T28" i="6"/>
  <c r="B99" i="5"/>
  <c r="F99" i="5" s="1"/>
  <c r="B53" i="5"/>
  <c r="J53" i="5" s="1"/>
  <c r="S17" i="6"/>
  <c r="W17" i="6" s="1"/>
  <c r="E19" i="5"/>
  <c r="A107" i="5"/>
  <c r="T25" i="6"/>
  <c r="U8" i="6"/>
  <c r="D10" i="5"/>
  <c r="A44" i="5" s="1"/>
  <c r="A99" i="5"/>
  <c r="T17" i="6"/>
  <c r="D12" i="5"/>
  <c r="A46" i="5" s="1"/>
  <c r="U10" i="6"/>
  <c r="U21" i="6"/>
  <c r="D23" i="5"/>
  <c r="A57" i="5" s="1"/>
  <c r="A97" i="5"/>
  <c r="T15" i="6"/>
  <c r="B52" i="5"/>
  <c r="F52" i="5" s="1"/>
  <c r="S16" i="6"/>
  <c r="W16" i="6" s="1"/>
  <c r="E18" i="5"/>
  <c r="B98" i="5"/>
  <c r="K98" i="5" s="1"/>
  <c r="T14" i="6"/>
  <c r="A96" i="5"/>
  <c r="U14" i="6"/>
  <c r="D16" i="5"/>
  <c r="A50" i="5" s="1"/>
  <c r="S22" i="6"/>
  <c r="W22" i="6" s="1"/>
  <c r="B104" i="5"/>
  <c r="H104" i="5" s="1"/>
  <c r="B58" i="5"/>
  <c r="J58" i="5" s="1"/>
  <c r="E24" i="5"/>
  <c r="E16" i="5"/>
  <c r="S14" i="6"/>
  <c r="W14" i="6" s="1"/>
  <c r="B96" i="5"/>
  <c r="J96" i="5" s="1"/>
  <c r="B50" i="5"/>
  <c r="H50" i="5" s="1"/>
  <c r="A94" i="5"/>
  <c r="T12" i="6"/>
  <c r="U25" i="6"/>
  <c r="D27" i="5"/>
  <c r="A61" i="5" s="1"/>
  <c r="T24" i="6"/>
  <c r="A106" i="5"/>
  <c r="A105" i="5"/>
  <c r="T23" i="6"/>
  <c r="S10" i="6"/>
  <c r="W10" i="6" s="1"/>
  <c r="E12" i="5"/>
  <c r="B46" i="5"/>
  <c r="G46" i="5" s="1"/>
  <c r="B92" i="5"/>
  <c r="F92" i="5" s="1"/>
  <c r="D90" i="5"/>
  <c r="S26" i="6"/>
  <c r="W26" i="6" s="1"/>
  <c r="E28" i="5"/>
  <c r="B108" i="5"/>
  <c r="B62" i="5"/>
  <c r="B106" i="5"/>
  <c r="B60" i="5"/>
  <c r="E26" i="5"/>
  <c r="S24" i="6"/>
  <c r="W24" i="6" s="1"/>
  <c r="S18" i="6"/>
  <c r="W18" i="6" s="1"/>
  <c r="B100" i="5"/>
  <c r="B54" i="5"/>
  <c r="E20" i="5"/>
  <c r="S27" i="6"/>
  <c r="W27" i="6" s="1"/>
  <c r="B63" i="5"/>
  <c r="B109" i="5"/>
  <c r="E29" i="5"/>
  <c r="B107" i="5"/>
  <c r="B61" i="5"/>
  <c r="S25" i="6"/>
  <c r="W25" i="6" s="1"/>
  <c r="E27" i="5"/>
  <c r="J45" i="2"/>
  <c r="K45" i="2" s="1"/>
  <c r="L45" i="2"/>
  <c r="M45" i="2" s="1"/>
  <c r="J37" i="2"/>
  <c r="K37" i="2" s="1"/>
  <c r="L37" i="2"/>
  <c r="M37" i="2" s="1"/>
  <c r="J44" i="2"/>
  <c r="K44" i="2" s="1"/>
  <c r="L44" i="2"/>
  <c r="M44" i="2" s="1"/>
  <c r="J43" i="2"/>
  <c r="K43" i="2" s="1"/>
  <c r="L43" i="2"/>
  <c r="M43" i="2" s="1"/>
  <c r="J49" i="2"/>
  <c r="K49" i="2" s="1"/>
  <c r="L49" i="2"/>
  <c r="M49" i="2" s="1"/>
  <c r="J48" i="2"/>
  <c r="K48" i="2" s="1"/>
  <c r="L48" i="2"/>
  <c r="M48" i="2" s="1"/>
  <c r="J40" i="2"/>
  <c r="K40" i="2" s="1"/>
  <c r="L40" i="2"/>
  <c r="M40" i="2" s="1"/>
  <c r="J35" i="2"/>
  <c r="K35" i="2" s="1"/>
  <c r="L35" i="2"/>
  <c r="M35" i="2" s="1"/>
  <c r="J36" i="2"/>
  <c r="K36" i="2" s="1"/>
  <c r="L36" i="2"/>
  <c r="M36" i="2" s="1"/>
  <c r="J47" i="2"/>
  <c r="K47" i="2" s="1"/>
  <c r="L47" i="2"/>
  <c r="M47" i="2" s="1"/>
  <c r="L33" i="2"/>
  <c r="M33" i="2" s="1"/>
  <c r="J33" i="2"/>
  <c r="K33" i="2" s="1"/>
  <c r="B2" i="8" s="1"/>
  <c r="E47" i="5" l="1"/>
  <c r="F94" i="5"/>
  <c r="D51" i="5"/>
  <c r="G103" i="5"/>
  <c r="D94" i="5"/>
  <c r="I51" i="5"/>
  <c r="I94" i="5"/>
  <c r="F47" i="5"/>
  <c r="E103" i="5"/>
  <c r="J94" i="5"/>
  <c r="K51" i="5"/>
  <c r="F96" i="5"/>
  <c r="C58" i="5"/>
  <c r="G58" i="5"/>
  <c r="D58" i="5"/>
  <c r="I47" i="5"/>
  <c r="H58" i="5"/>
  <c r="C47" i="5"/>
  <c r="D103" i="5"/>
  <c r="K103" i="5"/>
  <c r="I58" i="5"/>
  <c r="C51" i="5"/>
  <c r="H47" i="5"/>
  <c r="J47" i="5"/>
  <c r="G94" i="5"/>
  <c r="E94" i="5"/>
  <c r="E51" i="5"/>
  <c r="H51" i="5"/>
  <c r="H103" i="5"/>
  <c r="I103" i="5"/>
  <c r="K58" i="5"/>
  <c r="G51" i="5"/>
  <c r="K47" i="5"/>
  <c r="C94" i="5"/>
  <c r="H94" i="5"/>
  <c r="F51" i="5"/>
  <c r="E95" i="5"/>
  <c r="G96" i="5"/>
  <c r="C96" i="5"/>
  <c r="I102" i="5"/>
  <c r="H102" i="5"/>
  <c r="H49" i="5"/>
  <c r="G57" i="5"/>
  <c r="C46" i="5"/>
  <c r="F103" i="5"/>
  <c r="C103" i="5"/>
  <c r="F58" i="5"/>
  <c r="E58" i="5"/>
  <c r="D47" i="5"/>
  <c r="E96" i="5"/>
  <c r="F46" i="5"/>
  <c r="H95" i="5"/>
  <c r="E98" i="5"/>
  <c r="G93" i="5"/>
  <c r="I45" i="5"/>
  <c r="I98" i="5"/>
  <c r="J93" i="5"/>
  <c r="I50" i="5"/>
  <c r="J45" i="5"/>
  <c r="K57" i="5"/>
  <c r="D98" i="5"/>
  <c r="F93" i="5"/>
  <c r="I57" i="5"/>
  <c r="D57" i="5"/>
  <c r="F95" i="5"/>
  <c r="C95" i="5"/>
  <c r="J95" i="5"/>
  <c r="F50" i="5"/>
  <c r="G98" i="5"/>
  <c r="H92" i="5"/>
  <c r="E93" i="5"/>
  <c r="C93" i="5"/>
  <c r="D45" i="5"/>
  <c r="G45" i="5"/>
  <c r="E57" i="5"/>
  <c r="C57" i="5"/>
  <c r="D95" i="5"/>
  <c r="K95" i="5"/>
  <c r="J98" i="5"/>
  <c r="C98" i="5"/>
  <c r="I93" i="5"/>
  <c r="H93" i="5"/>
  <c r="F45" i="5"/>
  <c r="H45" i="5"/>
  <c r="K45" i="5"/>
  <c r="F57" i="5"/>
  <c r="H57" i="5"/>
  <c r="I95" i="5"/>
  <c r="K50" i="5"/>
  <c r="F98" i="5"/>
  <c r="I92" i="5"/>
  <c r="K93" i="5"/>
  <c r="E45" i="5"/>
  <c r="E92" i="5"/>
  <c r="J92" i="5"/>
  <c r="D50" i="5"/>
  <c r="E50" i="5"/>
  <c r="D92" i="5"/>
  <c r="G50" i="5"/>
  <c r="K92" i="5"/>
  <c r="C92" i="5"/>
  <c r="C50" i="5"/>
  <c r="J50" i="5"/>
  <c r="H98" i="5"/>
  <c r="I56" i="5"/>
  <c r="G92" i="5"/>
  <c r="E97" i="5"/>
  <c r="H44" i="5"/>
  <c r="J55" i="5"/>
  <c r="D52" i="5"/>
  <c r="F102" i="5"/>
  <c r="C55" i="5"/>
  <c r="D49" i="5"/>
  <c r="F90" i="5"/>
  <c r="E102" i="5"/>
  <c r="I55" i="5"/>
  <c r="I52" i="5"/>
  <c r="G90" i="5"/>
  <c r="G55" i="5"/>
  <c r="D55" i="5"/>
  <c r="E49" i="5"/>
  <c r="C49" i="5"/>
  <c r="J102" i="5"/>
  <c r="G102" i="5"/>
  <c r="K102" i="5"/>
  <c r="K55" i="5"/>
  <c r="F55" i="5"/>
  <c r="F49" i="5"/>
  <c r="K49" i="5"/>
  <c r="D46" i="5"/>
  <c r="J46" i="5"/>
  <c r="I99" i="5"/>
  <c r="E99" i="5"/>
  <c r="H52" i="5"/>
  <c r="J90" i="5"/>
  <c r="C102" i="5"/>
  <c r="H55" i="5"/>
  <c r="I49" i="5"/>
  <c r="G49" i="5"/>
  <c r="K96" i="5"/>
  <c r="E46" i="5"/>
  <c r="G52" i="5"/>
  <c r="C99" i="5"/>
  <c r="H99" i="5"/>
  <c r="K99" i="5"/>
  <c r="I90" i="5"/>
  <c r="E90" i="5"/>
  <c r="G99" i="5"/>
  <c r="D99" i="5"/>
  <c r="C52" i="5"/>
  <c r="J99" i="5"/>
  <c r="C90" i="5"/>
  <c r="H90" i="5"/>
  <c r="E104" i="5"/>
  <c r="F104" i="5"/>
  <c r="K97" i="5"/>
  <c r="J52" i="5"/>
  <c r="E101" i="5"/>
  <c r="K52" i="5"/>
  <c r="E52" i="5"/>
  <c r="D91" i="5"/>
  <c r="I53" i="5"/>
  <c r="C53" i="5"/>
  <c r="D56" i="5"/>
  <c r="D104" i="5"/>
  <c r="G56" i="5"/>
  <c r="G104" i="5"/>
  <c r="I101" i="5"/>
  <c r="K91" i="5"/>
  <c r="D48" i="5"/>
  <c r="G101" i="5"/>
  <c r="F56" i="5"/>
  <c r="J56" i="5"/>
  <c r="J104" i="5"/>
  <c r="F101" i="5"/>
  <c r="J101" i="5"/>
  <c r="F48" i="5"/>
  <c r="E56" i="5"/>
  <c r="C56" i="5"/>
  <c r="K104" i="5"/>
  <c r="C104" i="5"/>
  <c r="K101" i="5"/>
  <c r="C101" i="5"/>
  <c r="D97" i="5"/>
  <c r="C91" i="5"/>
  <c r="G91" i="5"/>
  <c r="H97" i="5"/>
  <c r="H48" i="5"/>
  <c r="C48" i="5"/>
  <c r="J48" i="5"/>
  <c r="I96" i="5"/>
  <c r="H96" i="5"/>
  <c r="J97" i="5"/>
  <c r="I46" i="5"/>
  <c r="H46" i="5"/>
  <c r="G97" i="5"/>
  <c r="K53" i="5"/>
  <c r="I97" i="5"/>
  <c r="F44" i="5"/>
  <c r="K44" i="5"/>
  <c r="G44" i="5"/>
  <c r="K56" i="5"/>
  <c r="I104" i="5"/>
  <c r="D101" i="5"/>
  <c r="E91" i="5"/>
  <c r="I91" i="5"/>
  <c r="J91" i="5"/>
  <c r="F53" i="5"/>
  <c r="G48" i="5"/>
  <c r="K48" i="5"/>
  <c r="D96" i="5"/>
  <c r="C97" i="5"/>
  <c r="K46" i="5"/>
  <c r="H53" i="5"/>
  <c r="D44" i="5"/>
  <c r="I44" i="5"/>
  <c r="E44" i="5"/>
  <c r="H91" i="5"/>
  <c r="E53" i="5"/>
  <c r="E48" i="5"/>
  <c r="D53" i="5"/>
  <c r="G53" i="5"/>
  <c r="C44" i="5"/>
  <c r="B105" i="5"/>
  <c r="S23" i="6"/>
  <c r="W23" i="6" s="1"/>
  <c r="B59" i="5"/>
  <c r="E25" i="5"/>
  <c r="J62" i="5"/>
  <c r="C62" i="5"/>
  <c r="G62" i="5"/>
  <c r="K62" i="5"/>
  <c r="H62" i="5"/>
  <c r="I62" i="5"/>
  <c r="F62" i="5"/>
  <c r="D62" i="5"/>
  <c r="E62" i="5"/>
  <c r="J54" i="5"/>
  <c r="K54" i="5"/>
  <c r="G54" i="5"/>
  <c r="C54" i="5"/>
  <c r="E54" i="5"/>
  <c r="F54" i="5"/>
  <c r="I54" i="5"/>
  <c r="D54" i="5"/>
  <c r="H54" i="5"/>
  <c r="J108" i="5"/>
  <c r="F108" i="5"/>
  <c r="H108" i="5"/>
  <c r="C108" i="5"/>
  <c r="K108" i="5"/>
  <c r="D108" i="5"/>
  <c r="I108" i="5"/>
  <c r="E108" i="5"/>
  <c r="G108" i="5"/>
  <c r="J61" i="5"/>
  <c r="H61" i="5"/>
  <c r="K61" i="5"/>
  <c r="G61" i="5"/>
  <c r="D61" i="5"/>
  <c r="C61" i="5"/>
  <c r="I61" i="5"/>
  <c r="F61" i="5"/>
  <c r="E61" i="5"/>
  <c r="F63" i="5"/>
  <c r="J63" i="5"/>
  <c r="I63" i="5"/>
  <c r="K63" i="5"/>
  <c r="E63" i="5"/>
  <c r="G63" i="5"/>
  <c r="H63" i="5"/>
  <c r="C63" i="5"/>
  <c r="D63" i="5"/>
  <c r="J100" i="5"/>
  <c r="F100" i="5"/>
  <c r="E100" i="5"/>
  <c r="G100" i="5"/>
  <c r="K100" i="5"/>
  <c r="H100" i="5"/>
  <c r="C100" i="5"/>
  <c r="I100" i="5"/>
  <c r="D100" i="5"/>
  <c r="J60" i="5"/>
  <c r="G60" i="5"/>
  <c r="C60" i="5"/>
  <c r="K60" i="5"/>
  <c r="E60" i="5"/>
  <c r="H60" i="5"/>
  <c r="I60" i="5"/>
  <c r="D60" i="5"/>
  <c r="F60" i="5"/>
  <c r="J109" i="5"/>
  <c r="I109" i="5"/>
  <c r="D109" i="5"/>
  <c r="K109" i="5"/>
  <c r="H109" i="5"/>
  <c r="C109" i="5"/>
  <c r="G109" i="5"/>
  <c r="E109" i="5"/>
  <c r="F109" i="5"/>
  <c r="J107" i="5"/>
  <c r="I107" i="5"/>
  <c r="K107" i="5"/>
  <c r="G107" i="5"/>
  <c r="C107" i="5"/>
  <c r="E107" i="5"/>
  <c r="F107" i="5"/>
  <c r="D107" i="5"/>
  <c r="H107" i="5"/>
  <c r="K106" i="5"/>
  <c r="D106" i="5"/>
  <c r="H106" i="5"/>
  <c r="E106" i="5"/>
  <c r="J106" i="5"/>
  <c r="I106" i="5"/>
  <c r="C106" i="5"/>
  <c r="F106" i="5"/>
  <c r="G106" i="5"/>
  <c r="E30" i="5" l="1"/>
  <c r="B110" i="5"/>
  <c r="B64" i="5"/>
  <c r="S28" i="6"/>
  <c r="W28" i="6" s="1"/>
  <c r="I59" i="5"/>
  <c r="K59" i="5"/>
  <c r="J59" i="5"/>
  <c r="D59" i="5"/>
  <c r="E59" i="5"/>
  <c r="G59" i="5"/>
  <c r="H59" i="5"/>
  <c r="C59" i="5"/>
  <c r="F59" i="5"/>
  <c r="J105" i="5"/>
  <c r="H105" i="5"/>
  <c r="C105" i="5"/>
  <c r="D105" i="5"/>
  <c r="G105" i="5"/>
  <c r="I105" i="5"/>
  <c r="K105" i="5"/>
  <c r="E105" i="5"/>
  <c r="F105" i="5"/>
  <c r="J64" i="5" l="1"/>
  <c r="H64" i="5"/>
  <c r="C64" i="5"/>
  <c r="D64" i="5"/>
  <c r="G64" i="5"/>
  <c r="K64" i="5"/>
  <c r="E64" i="5"/>
  <c r="I64" i="5"/>
  <c r="F64" i="5"/>
  <c r="K110" i="5"/>
  <c r="D110" i="5"/>
  <c r="H110" i="5"/>
  <c r="E110" i="5"/>
  <c r="F110" i="5"/>
  <c r="I110" i="5"/>
  <c r="G110" i="5"/>
  <c r="C110" i="5"/>
  <c r="J110" i="5"/>
  <c r="B68" i="5" l="1" a="1"/>
  <c r="L68" i="5" s="1"/>
  <c r="B72" i="5" a="1"/>
  <c r="G76" i="5" s="1"/>
  <c r="B115" i="5" a="1"/>
  <c r="F115" i="5" s="1"/>
  <c r="B119" i="5" a="1"/>
  <c r="E120" i="5" s="1"/>
  <c r="E68" i="5" l="1"/>
  <c r="F68" i="5"/>
  <c r="G68" i="5"/>
  <c r="B68" i="5"/>
  <c r="H68" i="5"/>
  <c r="D68" i="5"/>
  <c r="K68" i="5"/>
  <c r="I68" i="5"/>
  <c r="J68" i="5"/>
  <c r="C68" i="5"/>
  <c r="D123" i="5"/>
  <c r="L121" i="5"/>
  <c r="C122" i="5"/>
  <c r="C121" i="5"/>
  <c r="H121" i="5"/>
  <c r="I121" i="5"/>
  <c r="G123" i="5"/>
  <c r="J121" i="5"/>
  <c r="C119" i="5"/>
  <c r="K122" i="5"/>
  <c r="I120" i="5"/>
  <c r="H120" i="5"/>
  <c r="E119" i="5"/>
  <c r="G119" i="5"/>
  <c r="H115" i="5"/>
  <c r="B115" i="5"/>
  <c r="D115" i="5"/>
  <c r="D74" i="5"/>
  <c r="F72" i="5"/>
  <c r="K76" i="5"/>
  <c r="F74" i="5"/>
  <c r="D75" i="5"/>
  <c r="B72" i="5"/>
  <c r="G75" i="5"/>
  <c r="G72" i="5"/>
  <c r="C73" i="5"/>
  <c r="I72" i="5"/>
  <c r="B74" i="5"/>
  <c r="C76" i="5"/>
  <c r="E73" i="5"/>
  <c r="I75" i="5"/>
  <c r="J120" i="5"/>
  <c r="K121" i="5"/>
  <c r="B119" i="5"/>
  <c r="I122" i="5"/>
  <c r="D121" i="5"/>
  <c r="B122" i="5"/>
  <c r="H122" i="5"/>
  <c r="K119" i="5"/>
  <c r="L123" i="5"/>
  <c r="F122" i="5"/>
  <c r="E121" i="5"/>
  <c r="K120" i="5"/>
  <c r="J122" i="5"/>
  <c r="G122" i="5"/>
  <c r="I115" i="5"/>
  <c r="J115" i="5"/>
  <c r="E115" i="5"/>
  <c r="B73" i="5"/>
  <c r="J74" i="5"/>
  <c r="J76" i="5"/>
  <c r="J72" i="5"/>
  <c r="E72" i="5"/>
  <c r="C72" i="5"/>
  <c r="H73" i="5"/>
  <c r="G73" i="5"/>
  <c r="C75" i="5"/>
  <c r="L76" i="5"/>
  <c r="D73" i="5"/>
  <c r="E76" i="5"/>
  <c r="K74" i="5"/>
  <c r="H119" i="5"/>
  <c r="K123" i="5"/>
  <c r="B121" i="5"/>
  <c r="D120" i="5"/>
  <c r="L120" i="5"/>
  <c r="H123" i="5"/>
  <c r="C120" i="5"/>
  <c r="C123" i="5"/>
  <c r="I119" i="5"/>
  <c r="F121" i="5"/>
  <c r="B120" i="5"/>
  <c r="F123" i="5"/>
  <c r="L119" i="5"/>
  <c r="B123" i="5"/>
  <c r="L115" i="5"/>
  <c r="G115" i="5"/>
  <c r="J73" i="5"/>
  <c r="H72" i="5"/>
  <c r="K72" i="5"/>
  <c r="F75" i="5"/>
  <c r="L73" i="5"/>
  <c r="B75" i="5"/>
  <c r="D76" i="5"/>
  <c r="F76" i="5"/>
  <c r="K75" i="5"/>
  <c r="E74" i="5"/>
  <c r="L72" i="5"/>
  <c r="H74" i="5"/>
  <c r="I73" i="5"/>
  <c r="K73" i="5"/>
  <c r="F120" i="5"/>
  <c r="I123" i="5"/>
  <c r="G121" i="5"/>
  <c r="F119" i="5"/>
  <c r="E122" i="5"/>
  <c r="J119" i="5"/>
  <c r="D119" i="5"/>
  <c r="L122" i="5"/>
  <c r="D122" i="5"/>
  <c r="G120" i="5"/>
  <c r="J123" i="5"/>
  <c r="E123" i="5"/>
  <c r="C115" i="5"/>
  <c r="K115" i="5"/>
  <c r="E75" i="5"/>
  <c r="B76" i="5"/>
  <c r="C74" i="5"/>
  <c r="D72" i="5"/>
  <c r="I76" i="5"/>
  <c r="L74" i="5"/>
  <c r="L75" i="5"/>
  <c r="F73" i="5"/>
  <c r="J75" i="5"/>
  <c r="I74" i="5"/>
  <c r="G74" i="5"/>
  <c r="H76" i="5"/>
  <c r="H75" i="5"/>
  <c r="I29" i="6" l="1"/>
  <c r="V40" i="6" s="1"/>
  <c r="W40" i="6" s="1"/>
  <c r="X40" i="6" s="1"/>
  <c r="M46" i="5"/>
  <c r="N46" i="5" s="1"/>
  <c r="M58" i="5"/>
  <c r="N58" i="5" s="1"/>
  <c r="M49" i="5"/>
  <c r="N49" i="5" s="1"/>
  <c r="M47" i="5"/>
  <c r="N47" i="5" s="1"/>
  <c r="M53" i="5"/>
  <c r="N53" i="5" s="1"/>
  <c r="M45" i="5"/>
  <c r="N45" i="5" s="1"/>
  <c r="M60" i="5"/>
  <c r="N60" i="5" s="1"/>
  <c r="M56" i="5"/>
  <c r="N56" i="5" s="1"/>
  <c r="M63" i="5"/>
  <c r="N63" i="5" s="1"/>
  <c r="M50" i="5"/>
  <c r="N50" i="5" s="1"/>
  <c r="M59" i="5"/>
  <c r="N59" i="5" s="1"/>
  <c r="M52" i="5"/>
  <c r="N52" i="5" s="1"/>
  <c r="M64" i="5"/>
  <c r="N64" i="5" s="1"/>
  <c r="M61" i="5"/>
  <c r="N61" i="5" s="1"/>
  <c r="M62" i="5"/>
  <c r="N62" i="5" s="1"/>
  <c r="M44" i="5"/>
  <c r="N44" i="5" s="1"/>
  <c r="I46" i="6"/>
  <c r="V31" i="6" s="1"/>
  <c r="M51" i="5"/>
  <c r="N51" i="5" s="1"/>
  <c r="M54" i="5"/>
  <c r="N54" i="5" s="1"/>
  <c r="I39" i="6"/>
  <c r="M48" i="5"/>
  <c r="N48" i="5" s="1"/>
  <c r="M57" i="5"/>
  <c r="N57" i="5" s="1"/>
  <c r="M55" i="5"/>
  <c r="N55" i="5" s="1"/>
  <c r="A167" i="5"/>
  <c r="C149" i="5" s="1" a="1"/>
  <c r="C149" i="5" s="1"/>
  <c r="A170" i="5"/>
  <c r="C146" i="5" s="1" a="1"/>
  <c r="C146" i="5" s="1"/>
  <c r="A172" i="5"/>
  <c r="C144" i="5" s="1" a="1"/>
  <c r="C144" i="5" s="1"/>
  <c r="A138" i="5"/>
  <c r="C178" i="5" s="1" a="1"/>
  <c r="C178" i="5" s="1"/>
  <c r="A146" i="5"/>
  <c r="C170" i="5" s="1" a="1"/>
  <c r="C170" i="5" s="1"/>
  <c r="M95" i="5"/>
  <c r="N95" i="5" s="1"/>
  <c r="A150" i="5"/>
  <c r="C166" i="5" s="1" a="1"/>
  <c r="C166" i="5" s="1"/>
  <c r="A163" i="5"/>
  <c r="C153" i="5" s="1" a="1"/>
  <c r="C153" i="5" s="1"/>
  <c r="A168" i="5"/>
  <c r="C148" i="5" s="1" a="1"/>
  <c r="C148" i="5" s="1"/>
  <c r="A149" i="5"/>
  <c r="C167" i="5" s="1" a="1"/>
  <c r="C167" i="5" s="1"/>
  <c r="A143" i="5"/>
  <c r="C173" i="5" s="1" a="1"/>
  <c r="C173" i="5" s="1"/>
  <c r="A157" i="5"/>
  <c r="C159" i="5" s="1" a="1"/>
  <c r="C159" i="5" s="1"/>
  <c r="A166" i="5"/>
  <c r="C150" i="5" s="1" a="1"/>
  <c r="C150" i="5" s="1"/>
  <c r="A177" i="5"/>
  <c r="C139" i="5" s="1" a="1"/>
  <c r="C139" i="5" s="1"/>
  <c r="M90" i="5"/>
  <c r="A161" i="5"/>
  <c r="C155" i="5" s="1" a="1"/>
  <c r="C155" i="5" s="1"/>
  <c r="M101" i="5"/>
  <c r="N101" i="5" s="1"/>
  <c r="A171" i="5"/>
  <c r="C145" i="5" s="1" a="1"/>
  <c r="C145" i="5" s="1"/>
  <c r="M93" i="5"/>
  <c r="N93" i="5" s="1"/>
  <c r="A152" i="5"/>
  <c r="C164" i="5" s="1" a="1"/>
  <c r="C164" i="5" s="1"/>
  <c r="A169" i="5"/>
  <c r="C147" i="5" s="1" a="1"/>
  <c r="C147" i="5" s="1"/>
  <c r="A175" i="5"/>
  <c r="C141" i="5" s="1" a="1"/>
  <c r="C141" i="5" s="1"/>
  <c r="M108" i="5"/>
  <c r="N108" i="5" s="1"/>
  <c r="A158" i="5"/>
  <c r="A173" i="5"/>
  <c r="C143" i="5" s="1" a="1"/>
  <c r="C143" i="5" s="1"/>
  <c r="M110" i="5"/>
  <c r="N110" i="5" s="1"/>
  <c r="M94" i="5"/>
  <c r="N94" i="5" s="1"/>
  <c r="A151" i="5"/>
  <c r="C165" i="5" s="1" a="1"/>
  <c r="C165" i="5" s="1"/>
  <c r="A156" i="5"/>
  <c r="C160" i="5" s="1" a="1"/>
  <c r="C160" i="5" s="1"/>
  <c r="M100" i="5"/>
  <c r="N100" i="5" s="1"/>
  <c r="A154" i="5"/>
  <c r="C162" i="5" s="1" a="1"/>
  <c r="C162" i="5" s="1"/>
  <c r="A160" i="5"/>
  <c r="C156" i="5" s="1" a="1"/>
  <c r="C156" i="5" s="1"/>
  <c r="M107" i="5"/>
  <c r="N107" i="5" s="1"/>
  <c r="A164" i="5"/>
  <c r="C152" i="5" s="1" a="1"/>
  <c r="C152" i="5" s="1"/>
  <c r="A140" i="5"/>
  <c r="C176" i="5" s="1" a="1"/>
  <c r="C176" i="5" s="1"/>
  <c r="A155" i="5"/>
  <c r="C161" i="5" s="1" a="1"/>
  <c r="C161" i="5" s="1"/>
  <c r="M109" i="5"/>
  <c r="N109" i="5" s="1"/>
  <c r="A162" i="5"/>
  <c r="C154" i="5" s="1" a="1"/>
  <c r="C154" i="5" s="1"/>
  <c r="M98" i="5"/>
  <c r="N98" i="5" s="1"/>
  <c r="A159" i="5"/>
  <c r="C157" i="5" s="1" a="1"/>
  <c r="C157" i="5" s="1"/>
  <c r="A148" i="5"/>
  <c r="C168" i="5" s="1" a="1"/>
  <c r="C168" i="5" s="1"/>
  <c r="A139" i="5"/>
  <c r="C177" i="5" s="1" a="1"/>
  <c r="C177" i="5" s="1"/>
  <c r="M102" i="5"/>
  <c r="N102" i="5" s="1"/>
  <c r="A153" i="5"/>
  <c r="C163" i="5" s="1" a="1"/>
  <c r="C163" i="5" s="1"/>
  <c r="M97" i="5"/>
  <c r="N97" i="5" s="1"/>
  <c r="A147" i="5"/>
  <c r="C169" i="5" s="1" a="1"/>
  <c r="C169" i="5" s="1"/>
  <c r="A141" i="5"/>
  <c r="C175" i="5" s="1" a="1"/>
  <c r="C175" i="5" s="1"/>
  <c r="M96" i="5"/>
  <c r="N96" i="5" s="1"/>
  <c r="A174" i="5"/>
  <c r="C142" i="5" s="1" a="1"/>
  <c r="C142" i="5" s="1"/>
  <c r="A176" i="5"/>
  <c r="C140" i="5" s="1" a="1"/>
  <c r="C140" i="5" s="1"/>
  <c r="M104" i="5"/>
  <c r="N104" i="5" s="1"/>
  <c r="A178" i="5"/>
  <c r="C138" i="5" s="1" a="1"/>
  <c r="C138" i="5" s="1"/>
  <c r="M105" i="5"/>
  <c r="N105" i="5" s="1"/>
  <c r="M99" i="5"/>
  <c r="N99" i="5" s="1"/>
  <c r="M103" i="5"/>
  <c r="N103" i="5" s="1"/>
  <c r="A145" i="5"/>
  <c r="C171" i="5" s="1" a="1"/>
  <c r="C171" i="5" s="1"/>
  <c r="A165" i="5"/>
  <c r="C151" i="5" s="1" a="1"/>
  <c r="C151" i="5" s="1"/>
  <c r="M106" i="5"/>
  <c r="N106" i="5" s="1"/>
  <c r="M92" i="5"/>
  <c r="N92" i="5" s="1"/>
  <c r="A144" i="5"/>
  <c r="C172" i="5" s="1" a="1"/>
  <c r="C172" i="5" s="1"/>
  <c r="A142" i="5"/>
  <c r="C174" i="5" s="1" a="1"/>
  <c r="C174" i="5" s="1"/>
  <c r="M91" i="5"/>
  <c r="N91" i="5" s="1"/>
  <c r="V41" i="6" l="1"/>
  <c r="W41" i="6" s="1"/>
  <c r="X41" i="6" s="1"/>
  <c r="I30" i="6" s="1"/>
  <c r="T302" i="5"/>
  <c r="R302" i="5"/>
  <c r="I53" i="6"/>
  <c r="V44" i="6" s="1"/>
  <c r="W44" i="6" s="1"/>
  <c r="X44" i="6" s="1"/>
  <c r="T204" i="5"/>
  <c r="R204" i="5"/>
  <c r="C158" i="5" a="1"/>
  <c r="C158" i="5" s="1"/>
  <c r="S204" i="5" s="1"/>
  <c r="U302" i="5" l="1"/>
  <c r="S302" i="5"/>
  <c r="V45" i="6"/>
  <c r="W45" i="6" s="1"/>
  <c r="X45" i="6" s="1"/>
  <c r="I55" i="6" s="1"/>
  <c r="U204" i="5"/>
  <c r="V204" i="5" s="1"/>
  <c r="B204" i="5" s="1"/>
  <c r="V302" i="5" l="1"/>
  <c r="C302" i="5" s="1"/>
  <c r="D302" i="5" s="1"/>
  <c r="B205" i="5"/>
  <c r="B302" i="5" l="1"/>
  <c r="N302" i="5"/>
  <c r="M205" i="5"/>
  <c r="M206" i="5" s="1"/>
  <c r="R206" i="5"/>
  <c r="S206" i="5"/>
  <c r="U206" i="5"/>
  <c r="Q206" i="5"/>
  <c r="T206" i="5"/>
  <c r="V206" i="5" l="1"/>
  <c r="B206" i="5" s="1"/>
  <c r="B207" i="5" s="1"/>
  <c r="Q208" i="5" l="1"/>
  <c r="M207" i="5"/>
  <c r="M208" i="5" s="1"/>
  <c r="R208" i="5"/>
  <c r="T208" i="5"/>
  <c r="U208" i="5"/>
  <c r="S208" i="5"/>
  <c r="V208" i="5" l="1"/>
  <c r="B208" i="5" s="1"/>
  <c r="B209" i="5" s="1"/>
  <c r="Q210" i="5" l="1"/>
  <c r="M209" i="5"/>
  <c r="M210" i="5" s="1"/>
  <c r="T210" i="5"/>
  <c r="R210" i="5"/>
  <c r="U210" i="5"/>
  <c r="S210" i="5"/>
  <c r="V210" i="5" l="1"/>
  <c r="B210" i="5" s="1"/>
  <c r="B211" i="5" s="1"/>
  <c r="Q212" i="5" l="1"/>
  <c r="M211" i="5"/>
  <c r="M212" i="5" s="1"/>
  <c r="T212" i="5"/>
  <c r="R212" i="5"/>
  <c r="S212" i="5"/>
  <c r="U212" i="5"/>
  <c r="V212" i="5" l="1"/>
  <c r="B212" i="5" s="1"/>
  <c r="B213" i="5" s="1"/>
  <c r="Q214" i="5" l="1"/>
  <c r="M213" i="5"/>
  <c r="M214" i="5" s="1"/>
  <c r="T214" i="5"/>
  <c r="R214" i="5"/>
  <c r="S214" i="5"/>
  <c r="U214" i="5"/>
  <c r="V214" i="5" l="1"/>
  <c r="B214" i="5" s="1"/>
  <c r="B215" i="5" s="1"/>
  <c r="Q216" i="5" l="1"/>
  <c r="M215" i="5"/>
  <c r="M216" i="5" s="1"/>
  <c r="R216" i="5"/>
  <c r="T216" i="5"/>
  <c r="S216" i="5"/>
  <c r="U216" i="5"/>
  <c r="V216" i="5" l="1"/>
  <c r="B216" i="5"/>
  <c r="B217" i="5" s="1"/>
  <c r="Q218" i="5" l="1"/>
  <c r="M217" i="5"/>
  <c r="M218" i="5" s="1"/>
  <c r="R218" i="5"/>
  <c r="V218" i="5" s="1"/>
  <c r="T218" i="5"/>
  <c r="S218" i="5"/>
  <c r="U218" i="5"/>
  <c r="B218" i="5" l="1"/>
  <c r="B219" i="5" s="1"/>
  <c r="Q220" i="5" l="1"/>
  <c r="M219" i="5"/>
  <c r="M220" i="5" s="1"/>
  <c r="T220" i="5"/>
  <c r="R220" i="5"/>
  <c r="S220" i="5"/>
  <c r="U220" i="5"/>
  <c r="V220" i="5" l="1"/>
  <c r="B220" i="5"/>
  <c r="B221" i="5" s="1"/>
  <c r="Q222" i="5" l="1"/>
  <c r="M221" i="5"/>
  <c r="M222" i="5" s="1"/>
  <c r="T222" i="5"/>
  <c r="R222" i="5"/>
  <c r="U222" i="5"/>
  <c r="S222" i="5"/>
  <c r="V222" i="5" l="1"/>
  <c r="B222" i="5" s="1"/>
  <c r="B223" i="5" s="1"/>
  <c r="Q224" i="5" l="1"/>
  <c r="M223" i="5"/>
  <c r="M224" i="5" s="1"/>
  <c r="R224" i="5"/>
  <c r="T224" i="5"/>
  <c r="U224" i="5"/>
  <c r="S224" i="5"/>
  <c r="V224" i="5" l="1"/>
  <c r="B224" i="5"/>
  <c r="B225" i="5" s="1"/>
  <c r="Q226" i="5" s="1"/>
  <c r="U226" i="5" l="1"/>
  <c r="T226" i="5"/>
  <c r="R226" i="5"/>
  <c r="M225" i="5"/>
  <c r="M226" i="5" s="1"/>
  <c r="S226" i="5"/>
  <c r="V226" i="5" s="1"/>
  <c r="B226" i="5" s="1"/>
  <c r="B227" i="5" s="1"/>
  <c r="Q228" i="5" l="1"/>
  <c r="M227" i="5"/>
  <c r="M228" i="5" s="1"/>
  <c r="T228" i="5"/>
  <c r="R228" i="5"/>
  <c r="V228" i="5" s="1"/>
  <c r="U228" i="5"/>
  <c r="S228" i="5"/>
  <c r="B228" i="5" l="1"/>
  <c r="B229" i="5" s="1"/>
  <c r="T230" i="5" l="1"/>
  <c r="U230" i="5"/>
  <c r="R230" i="5"/>
  <c r="M229" i="5"/>
  <c r="M230" i="5" s="1"/>
  <c r="S230" i="5"/>
  <c r="Q230" i="5"/>
  <c r="V230" i="5" l="1"/>
  <c r="B230" i="5" s="1"/>
  <c r="B231" i="5" s="1"/>
  <c r="M231" i="5" l="1"/>
  <c r="M232" i="5" s="1"/>
  <c r="Q232" i="5"/>
  <c r="U232" i="5"/>
  <c r="S232" i="5"/>
  <c r="R232" i="5"/>
  <c r="T232" i="5"/>
  <c r="V232" i="5" l="1"/>
  <c r="B232" i="5" s="1"/>
  <c r="B233" i="5" s="1"/>
  <c r="R234" i="5" l="1"/>
  <c r="U234" i="5"/>
  <c r="Q234" i="5"/>
  <c r="M233" i="5"/>
  <c r="M234" i="5" s="1"/>
  <c r="T234" i="5"/>
  <c r="V234" i="5" s="1"/>
  <c r="S234" i="5"/>
  <c r="B234" i="5" l="1"/>
  <c r="B235" i="5" s="1"/>
  <c r="M235" i="5" l="1"/>
  <c r="M236" i="5" s="1"/>
  <c r="Q236" i="5"/>
  <c r="U236" i="5"/>
  <c r="R236" i="5"/>
  <c r="T236" i="5"/>
  <c r="S236" i="5"/>
  <c r="V236" i="5" l="1"/>
  <c r="B236" i="5"/>
  <c r="B237" i="5" s="1"/>
  <c r="S238" i="5" l="1"/>
  <c r="T238" i="5"/>
  <c r="Q238" i="5"/>
  <c r="M237" i="5"/>
  <c r="M238" i="5" s="1"/>
  <c r="R238" i="5"/>
  <c r="U238" i="5"/>
  <c r="V238" i="5" l="1"/>
  <c r="B238" i="5" s="1"/>
  <c r="B239" i="5" s="1"/>
  <c r="Q240" i="5" l="1"/>
  <c r="S240" i="5"/>
  <c r="U240" i="5"/>
  <c r="M239" i="5"/>
  <c r="M240" i="5" s="1"/>
  <c r="R240" i="5"/>
  <c r="T240" i="5"/>
  <c r="V240" i="5" l="1"/>
  <c r="B240" i="5" s="1"/>
  <c r="B241" i="5" s="1"/>
  <c r="S242" i="5" l="1"/>
  <c r="U242" i="5"/>
  <c r="T242" i="5"/>
  <c r="V242" i="5" s="1"/>
  <c r="M241" i="5"/>
  <c r="M242" i="5" s="1"/>
  <c r="R242" i="5"/>
  <c r="Q242" i="5"/>
  <c r="B242" i="5" l="1"/>
  <c r="B243" i="5" s="1"/>
  <c r="S244" i="5" l="1"/>
  <c r="R244" i="5"/>
  <c r="T244" i="5"/>
  <c r="U244" i="5"/>
  <c r="M243" i="5"/>
  <c r="M244" i="5" s="1"/>
  <c r="Q244" i="5"/>
  <c r="V244" i="5" l="1"/>
  <c r="B244" i="5"/>
  <c r="B245" i="5" s="1"/>
  <c r="Q246" i="5" l="1"/>
  <c r="R246" i="5"/>
  <c r="T246" i="5"/>
  <c r="S246" i="5"/>
  <c r="V246" i="5" s="1"/>
  <c r="B246" i="5" s="1"/>
  <c r="B247" i="5" s="1"/>
  <c r="U246" i="5"/>
  <c r="M245" i="5"/>
  <c r="M246" i="5" s="1"/>
  <c r="S248" i="5" l="1"/>
  <c r="U248" i="5"/>
  <c r="Q248" i="5"/>
  <c r="R248" i="5"/>
  <c r="T248" i="5"/>
  <c r="M247" i="5"/>
  <c r="M248" i="5" s="1"/>
  <c r="V248" i="5" l="1"/>
  <c r="B248" i="5" s="1"/>
  <c r="B249" i="5" s="1"/>
  <c r="Q250" i="5" s="1"/>
  <c r="S250" i="5" l="1"/>
  <c r="M249" i="5"/>
  <c r="M250" i="5" s="1"/>
  <c r="T250" i="5"/>
  <c r="R250" i="5"/>
  <c r="V250" i="5" s="1"/>
  <c r="B250" i="5" s="1"/>
  <c r="B251" i="5" s="1"/>
  <c r="R252" i="5" s="1"/>
  <c r="U250" i="5"/>
  <c r="U252" i="5" l="1"/>
  <c r="T252" i="5"/>
  <c r="V252" i="5" s="1"/>
  <c r="B252" i="5" s="1"/>
  <c r="B253" i="5" s="1"/>
  <c r="S252" i="5"/>
  <c r="Q252" i="5"/>
  <c r="M251" i="5"/>
  <c r="M252" i="5" s="1"/>
  <c r="Q254" i="5" l="1"/>
  <c r="S254" i="5"/>
  <c r="U254" i="5"/>
  <c r="R254" i="5"/>
  <c r="V254" i="5" s="1"/>
  <c r="T254" i="5"/>
  <c r="B254" i="5" l="1"/>
  <c r="B255" i="5" s="1"/>
  <c r="M253" i="5"/>
  <c r="M254" i="5" s="1"/>
  <c r="Q256" i="5" l="1"/>
  <c r="T256" i="5"/>
  <c r="S256" i="5"/>
  <c r="U256" i="5"/>
  <c r="R256" i="5"/>
  <c r="V256" i="5" l="1"/>
  <c r="B256" i="5" s="1"/>
  <c r="B257" i="5" s="1"/>
  <c r="M255" i="5"/>
  <c r="M256" i="5" s="1"/>
  <c r="Q258" i="5" l="1"/>
  <c r="S258" i="5"/>
  <c r="U258" i="5"/>
  <c r="R258" i="5"/>
  <c r="V258" i="5" s="1"/>
  <c r="T258" i="5"/>
  <c r="B258" i="5" l="1"/>
  <c r="B259" i="5" s="1"/>
  <c r="M257" i="5"/>
  <c r="M258" i="5" s="1"/>
  <c r="Q260" i="5" l="1"/>
  <c r="T260" i="5"/>
  <c r="S260" i="5"/>
  <c r="U260" i="5"/>
  <c r="R260" i="5"/>
  <c r="V260" i="5" l="1"/>
  <c r="B260" i="5" s="1"/>
  <c r="B261" i="5" s="1"/>
  <c r="M259" i="5"/>
  <c r="M260" i="5" s="1"/>
  <c r="Q262" i="5" l="1"/>
  <c r="S262" i="5"/>
  <c r="U262" i="5"/>
  <c r="R262" i="5"/>
  <c r="V262" i="5" s="1"/>
  <c r="T262" i="5"/>
  <c r="B262" i="5" l="1"/>
  <c r="B263" i="5" s="1"/>
  <c r="M261" i="5"/>
  <c r="M262" i="5" s="1"/>
  <c r="Q264" i="5" l="1"/>
  <c r="S264" i="5"/>
  <c r="U264" i="5"/>
  <c r="T264" i="5"/>
  <c r="R264" i="5"/>
  <c r="V264" i="5" l="1"/>
  <c r="B264" i="5" s="1"/>
  <c r="B265" i="5" s="1"/>
  <c r="M263" i="5"/>
  <c r="M264" i="5" s="1"/>
  <c r="U266" i="5" l="1"/>
  <c r="R266" i="5"/>
  <c r="T266" i="5"/>
  <c r="S266" i="5"/>
  <c r="Q266" i="5"/>
  <c r="V266" i="5" l="1"/>
  <c r="B266" i="5" s="1"/>
  <c r="B267" i="5" s="1"/>
  <c r="Q268" i="5" s="1"/>
  <c r="M265" i="5"/>
  <c r="M266" i="5" s="1"/>
  <c r="T268" i="5" l="1"/>
  <c r="S268" i="5"/>
  <c r="U268" i="5"/>
  <c r="R268" i="5"/>
  <c r="V268" i="5" s="1"/>
  <c r="B268" i="5" s="1"/>
  <c r="B269" i="5" s="1"/>
  <c r="M267" i="5"/>
  <c r="M268" i="5" s="1"/>
  <c r="R270" i="5" l="1"/>
  <c r="U270" i="5"/>
  <c r="Q270" i="5"/>
  <c r="S270" i="5"/>
  <c r="T270" i="5"/>
  <c r="V270" i="5" l="1"/>
  <c r="B270" i="5" s="1"/>
  <c r="B271" i="5" s="1"/>
  <c r="Q272" i="5" s="1"/>
  <c r="M269" i="5"/>
  <c r="M270" i="5" s="1"/>
  <c r="S272" i="5" l="1"/>
  <c r="U272" i="5"/>
  <c r="T272" i="5"/>
  <c r="R272" i="5"/>
  <c r="M271" i="5"/>
  <c r="M272" i="5" s="1"/>
  <c r="V272" i="5" l="1"/>
  <c r="B272" i="5" s="1"/>
  <c r="B273" i="5" s="1"/>
  <c r="R274" i="5" l="1"/>
  <c r="S274" i="5"/>
  <c r="Q274" i="5"/>
  <c r="T274" i="5"/>
  <c r="U274" i="5"/>
  <c r="M273" i="5"/>
  <c r="M274" i="5" s="1"/>
  <c r="V274" i="5" l="1"/>
  <c r="B274" i="5" s="1"/>
  <c r="B275" i="5" s="1"/>
  <c r="Q276" i="5" l="1"/>
  <c r="M275" i="5"/>
  <c r="M276" i="5" s="1"/>
  <c r="T276" i="5"/>
  <c r="U276" i="5"/>
  <c r="S276" i="5"/>
  <c r="R276" i="5"/>
  <c r="V276" i="5" l="1"/>
  <c r="B276" i="5" s="1"/>
  <c r="B277" i="5" s="1"/>
  <c r="T278" i="5" s="1"/>
  <c r="S278" i="5" l="1"/>
  <c r="Q278" i="5"/>
  <c r="M277" i="5"/>
  <c r="M278" i="5" s="1"/>
  <c r="U278" i="5"/>
  <c r="R278" i="5"/>
  <c r="V278" i="5" s="1"/>
  <c r="B278" i="5" s="1"/>
  <c r="B279" i="5" s="1"/>
  <c r="Q280" i="5" s="1"/>
  <c r="U280" i="5" l="1"/>
  <c r="M279" i="5"/>
  <c r="M280" i="5" s="1"/>
  <c r="T280" i="5"/>
  <c r="R280" i="5"/>
  <c r="V280" i="5" s="1"/>
  <c r="B280" i="5" s="1"/>
  <c r="B281" i="5" s="1"/>
  <c r="S280" i="5"/>
  <c r="T282" i="5" l="1"/>
  <c r="S282" i="5"/>
  <c r="Q282" i="5"/>
  <c r="R282" i="5"/>
  <c r="V282" i="5" s="1"/>
  <c r="M281" i="5"/>
  <c r="M282" i="5" s="1"/>
  <c r="U282" i="5"/>
  <c r="B282" i="5" l="1"/>
  <c r="B283" i="5" s="1"/>
  <c r="M283" i="5" l="1"/>
  <c r="M284" i="5" s="1"/>
  <c r="R284" i="5"/>
  <c r="T284" i="5"/>
  <c r="Q284" i="5"/>
  <c r="U284" i="5"/>
  <c r="S284" i="5"/>
  <c r="V284" i="5" l="1"/>
  <c r="B284" i="5" s="1"/>
  <c r="B285" i="5" s="1"/>
  <c r="S286" i="5" s="1"/>
  <c r="U286" i="5" l="1"/>
  <c r="R286" i="5"/>
  <c r="M285" i="5"/>
  <c r="M286" i="5" s="1"/>
  <c r="T286" i="5"/>
  <c r="V286" i="5" s="1"/>
  <c r="B286" i="5" s="1"/>
  <c r="B287" i="5" s="1"/>
  <c r="Q286" i="5"/>
  <c r="Q288" i="5" l="1"/>
  <c r="M287" i="5"/>
  <c r="M288" i="5" s="1"/>
  <c r="S288" i="5"/>
  <c r="U288" i="5"/>
  <c r="R288" i="5"/>
  <c r="T288" i="5"/>
  <c r="V288" i="5" l="1"/>
  <c r="B288" i="5" s="1"/>
  <c r="B289" i="5" s="1"/>
  <c r="Q290" i="5" s="1"/>
  <c r="T290" i="5" l="1"/>
  <c r="U290" i="5"/>
  <c r="R290" i="5"/>
  <c r="S290" i="5"/>
  <c r="M289" i="5"/>
  <c r="M290" i="5" s="1"/>
  <c r="V290" i="5" l="1"/>
  <c r="B290" i="5" s="1"/>
  <c r="B291" i="5" s="1"/>
  <c r="T292" i="5" s="1"/>
  <c r="U292" i="5" l="1"/>
  <c r="S292" i="5"/>
  <c r="M291" i="5"/>
  <c r="M292" i="5" s="1"/>
  <c r="R292" i="5"/>
  <c r="V292" i="5" s="1"/>
  <c r="Q292" i="5"/>
  <c r="B292" i="5"/>
  <c r="B293" i="5" s="1"/>
  <c r="S294" i="5" l="1"/>
  <c r="R294" i="5"/>
  <c r="U294" i="5"/>
  <c r="Q294" i="5"/>
  <c r="T294" i="5"/>
  <c r="M293" i="5"/>
  <c r="M294" i="5" s="1"/>
  <c r="V294" i="5" l="1"/>
  <c r="B294" i="5" s="1"/>
  <c r="B295" i="5" s="1"/>
  <c r="T296" i="5" s="1"/>
  <c r="R296" i="5" l="1"/>
  <c r="V296" i="5" s="1"/>
  <c r="U296" i="5"/>
  <c r="M295" i="5"/>
  <c r="M296" i="5" s="1"/>
  <c r="S296" i="5"/>
  <c r="Q296" i="5"/>
  <c r="B296" i="5"/>
  <c r="B297" i="5" s="1"/>
  <c r="T298" i="5" s="1"/>
  <c r="M297" i="5" l="1"/>
  <c r="M298" i="5" s="1"/>
  <c r="R298" i="5"/>
  <c r="U298" i="5"/>
  <c r="Q298" i="5"/>
  <c r="S298" i="5"/>
  <c r="V298" i="5"/>
  <c r="B298" i="5" s="1"/>
  <c r="B299" i="5" l="1"/>
  <c r="M299" i="5" s="1"/>
  <c r="D204" i="5"/>
  <c r="K86" i="6" s="1"/>
  <c r="V35" i="6" l="1"/>
  <c r="W35" i="6" s="1"/>
  <c r="I61" i="6" s="1"/>
  <c r="I63" i="6" s="1"/>
  <c r="E127" i="6" s="1"/>
  <c r="B193" i="5"/>
  <c r="J193" i="5" s="1"/>
  <c r="C193" i="5"/>
  <c r="D193" i="5" s="1"/>
  <c r="V34" i="6"/>
  <c r="W34" i="6" s="1"/>
  <c r="D194" i="5" l="1"/>
  <c r="C194" i="5"/>
  <c r="C74" i="6" s="1"/>
  <c r="I47" i="6"/>
  <c r="I48" i="6" s="1"/>
  <c r="B127" i="6" s="1"/>
  <c r="I54" i="6"/>
  <c r="I56" i="6" s="1"/>
  <c r="I31" i="6"/>
  <c r="I40" i="6"/>
  <c r="I41" i="6" s="1"/>
  <c r="C127" i="6" s="1"/>
  <c r="I32" i="6" l="1"/>
  <c r="I34" i="6" s="1"/>
  <c r="I33" i="6" s="1"/>
  <c r="F127" i="6" s="1"/>
  <c r="J81" i="6"/>
  <c r="K197" i="5" s="1"/>
  <c r="J194" i="5"/>
  <c r="J82" i="6" l="1"/>
  <c r="B126" i="6"/>
  <c r="B132" i="6" s="1" a="1"/>
  <c r="C68" i="6"/>
  <c r="C70" i="6" l="1"/>
  <c r="C69" i="6"/>
  <c r="C180" i="5" s="1"/>
  <c r="C197" i="5"/>
  <c r="D197" i="5"/>
  <c r="E135" i="6"/>
  <c r="E134" i="6"/>
  <c r="D135" i="6"/>
  <c r="E133" i="6"/>
  <c r="B135" i="6"/>
  <c r="C134" i="6"/>
  <c r="D134" i="6"/>
  <c r="B134" i="6"/>
  <c r="E132" i="6"/>
  <c r="C132" i="6"/>
  <c r="B132" i="6"/>
  <c r="C135" i="6"/>
  <c r="C133" i="6"/>
  <c r="D132" i="6"/>
  <c r="B133" i="6"/>
  <c r="D133" i="6"/>
  <c r="F132" i="6" l="1" a="1"/>
  <c r="B199" i="5"/>
  <c r="L199" i="5" s="1"/>
  <c r="F132" i="6" l="1"/>
  <c r="F133" i="6"/>
  <c r="F134" i="6"/>
  <c r="F135" i="6"/>
  <c r="J131" i="6" s="1"/>
  <c r="J132" i="6" s="1"/>
  <c r="J122" i="6"/>
  <c r="J138" i="6" s="1"/>
  <c r="J137" i="6" s="1"/>
  <c r="J125" i="6"/>
  <c r="J126" i="6" s="1"/>
  <c r="F181" i="5"/>
  <c r="N303" i="5"/>
  <c r="Q304" i="5" s="1"/>
  <c r="R304" i="5" s="1"/>
  <c r="D200" i="5"/>
  <c r="P302" i="5"/>
  <c r="C200" i="5"/>
  <c r="J128" i="6"/>
  <c r="J129" i="6" s="1"/>
  <c r="T304" i="5" l="1"/>
  <c r="S304" i="5"/>
  <c r="U304" i="5"/>
  <c r="J134" i="6"/>
  <c r="B303" i="5"/>
  <c r="J142" i="6"/>
  <c r="J141" i="6" s="1"/>
  <c r="J123" i="6"/>
  <c r="V304" i="5" l="1"/>
  <c r="C304" i="5" s="1"/>
  <c r="D304" i="5" s="1"/>
  <c r="N305" i="5" l="1"/>
  <c r="B304" i="5"/>
  <c r="P304" i="5" s="1"/>
  <c r="N304" i="5"/>
  <c r="B305" i="5" s="1"/>
  <c r="Q306" i="5" l="1"/>
  <c r="U306" i="5" s="1"/>
  <c r="T306" i="5" l="1"/>
  <c r="S306" i="5"/>
  <c r="R306" i="5"/>
  <c r="V306" i="5" l="1"/>
  <c r="C306" i="5" s="1"/>
  <c r="D306" i="5" s="1"/>
  <c r="B306" i="5" s="1"/>
  <c r="P306" i="5" s="1"/>
  <c r="N306" i="5" l="1"/>
  <c r="B307" i="5" s="1"/>
  <c r="N307" i="5"/>
  <c r="Q308" i="5" s="1"/>
  <c r="S308" i="5" s="1"/>
  <c r="R308" i="5" l="1"/>
  <c r="U308" i="5"/>
  <c r="T308" i="5"/>
  <c r="V308" i="5" l="1"/>
  <c r="C308" i="5" s="1"/>
  <c r="D308" i="5" s="1"/>
  <c r="B308" i="5" s="1"/>
  <c r="P308" i="5" s="1"/>
  <c r="N308" i="5" l="1"/>
  <c r="B309" i="5" s="1"/>
  <c r="N309" i="5"/>
  <c r="Q310" i="5" s="1"/>
  <c r="U310" i="5" s="1"/>
  <c r="T310" i="5" l="1"/>
  <c r="R310" i="5"/>
  <c r="S310" i="5"/>
  <c r="V310" i="5" l="1"/>
  <c r="C310" i="5" s="1"/>
  <c r="D310" i="5" s="1"/>
  <c r="B310" i="5" s="1"/>
  <c r="P310" i="5" s="1"/>
  <c r="N310" i="5" l="1"/>
  <c r="B311" i="5" s="1"/>
  <c r="N311" i="5"/>
  <c r="Q312" i="5" s="1"/>
  <c r="S312" i="5" s="1"/>
  <c r="R312" i="5" l="1"/>
  <c r="T312" i="5"/>
  <c r="U312" i="5"/>
  <c r="V312" i="5" l="1"/>
  <c r="C312" i="5" s="1"/>
  <c r="D312" i="5" s="1"/>
  <c r="B312" i="5" s="1"/>
  <c r="N313" i="5" l="1"/>
  <c r="Q314" i="5" s="1"/>
  <c r="S314" i="5" s="1"/>
  <c r="N312" i="5"/>
  <c r="B313" i="5" s="1"/>
  <c r="P312" i="5"/>
  <c r="R314" i="5" l="1"/>
  <c r="U314" i="5"/>
  <c r="T314" i="5"/>
  <c r="V314" i="5" l="1"/>
  <c r="C314" i="5" s="1"/>
  <c r="D314" i="5" s="1"/>
  <c r="N314" i="5" s="1"/>
  <c r="B314" i="5" l="1"/>
  <c r="P314" i="5" s="1"/>
  <c r="N315" i="5"/>
  <c r="B315" i="5"/>
  <c r="Q316" i="5" l="1"/>
  <c r="S316" i="5" l="1"/>
  <c r="U316" i="5"/>
  <c r="T316" i="5"/>
  <c r="R316" i="5"/>
  <c r="V316" i="5" l="1"/>
  <c r="C316" i="5" s="1"/>
  <c r="D316" i="5" s="1"/>
  <c r="N316" i="5" s="1"/>
  <c r="B316" i="5" l="1"/>
  <c r="P316" i="5" s="1"/>
  <c r="N317" i="5"/>
  <c r="Q318" i="5" s="1"/>
  <c r="B317" i="5"/>
  <c r="R318" i="5" l="1"/>
  <c r="S318" i="5"/>
  <c r="T318" i="5"/>
  <c r="U318" i="5"/>
  <c r="V318" i="5" l="1"/>
  <c r="C318" i="5" s="1"/>
  <c r="D318" i="5" s="1"/>
  <c r="N318" i="5" s="1"/>
  <c r="B319" i="5" s="1"/>
  <c r="B318" i="5" l="1"/>
  <c r="P318" i="5" s="1"/>
  <c r="N319" i="5"/>
  <c r="Q320" i="5" s="1"/>
  <c r="U320" i="5" s="1"/>
  <c r="S320" i="5" l="1"/>
  <c r="T320" i="5"/>
  <c r="R320" i="5"/>
  <c r="V320" i="5" l="1"/>
  <c r="C320" i="5" s="1"/>
  <c r="D320" i="5" s="1"/>
  <c r="N321" i="5" s="1"/>
  <c r="Q322" i="5" s="1"/>
  <c r="N320" i="5" l="1"/>
  <c r="B321" i="5" s="1"/>
  <c r="B320" i="5"/>
  <c r="P320" i="5" s="1"/>
  <c r="R322" i="5"/>
  <c r="U322" i="5"/>
  <c r="T322" i="5"/>
  <c r="S322" i="5"/>
  <c r="V322" i="5" l="1"/>
  <c r="C322" i="5" s="1"/>
  <c r="D322" i="5" s="1"/>
  <c r="N322" i="5" s="1"/>
  <c r="B323" i="5" s="1"/>
  <c r="B322" i="5" l="1"/>
  <c r="P322" i="5" s="1"/>
  <c r="N323" i="5"/>
  <c r="Q324" i="5" s="1"/>
  <c r="S324" i="5" s="1"/>
  <c r="R324" i="5" l="1"/>
  <c r="U324" i="5"/>
  <c r="T324" i="5"/>
  <c r="V324" i="5" l="1"/>
  <c r="C324" i="5" s="1"/>
  <c r="D324" i="5" s="1"/>
  <c r="N325" i="5" s="1"/>
  <c r="Q326" i="5" s="1"/>
  <c r="R326" i="5" s="1"/>
  <c r="N324" i="5" l="1"/>
  <c r="B325" i="5" s="1"/>
  <c r="U326" i="5"/>
  <c r="T326" i="5"/>
  <c r="S326" i="5"/>
  <c r="B324" i="5"/>
  <c r="P324" i="5" s="1"/>
  <c r="V326" i="5" l="1"/>
  <c r="C326" i="5" s="1"/>
  <c r="D326" i="5" s="1"/>
  <c r="N326" i="5" s="1"/>
  <c r="B327" i="5" s="1"/>
  <c r="B326" i="5" l="1"/>
  <c r="P326" i="5" s="1"/>
  <c r="N327" i="5"/>
  <c r="Q328" i="5" s="1"/>
  <c r="U328" i="5" s="1"/>
  <c r="T328" i="5" l="1"/>
  <c r="S328" i="5"/>
  <c r="R328" i="5"/>
  <c r="V328" i="5" l="1"/>
  <c r="C328" i="5" s="1"/>
  <c r="D328" i="5" s="1"/>
  <c r="N329" i="5" s="1"/>
  <c r="Q330" i="5" s="1"/>
  <c r="U330" i="5" s="1"/>
  <c r="B328" i="5" l="1"/>
  <c r="P328" i="5" s="1"/>
  <c r="S330" i="5"/>
  <c r="T330" i="5"/>
  <c r="R330" i="5"/>
  <c r="N328" i="5"/>
  <c r="B329" i="5" s="1"/>
  <c r="V330" i="5" l="1"/>
  <c r="C330" i="5" s="1"/>
  <c r="D330" i="5" s="1"/>
  <c r="N330" i="5" s="1"/>
  <c r="B331" i="5" s="1"/>
  <c r="B330" i="5" l="1"/>
  <c r="P330" i="5" s="1"/>
  <c r="N331" i="5"/>
  <c r="Q332" i="5" s="1"/>
  <c r="U332" i="5" s="1"/>
  <c r="S332" i="5" l="1"/>
  <c r="R332" i="5"/>
  <c r="T332" i="5"/>
  <c r="V332" i="5" l="1"/>
  <c r="C332" i="5" s="1"/>
  <c r="D332" i="5" s="1"/>
  <c r="N332" i="5" s="1"/>
  <c r="B333" i="5" s="1"/>
  <c r="N333" i="5" l="1"/>
  <c r="Q334" i="5" s="1"/>
  <c r="S334" i="5" s="1"/>
  <c r="B332" i="5"/>
  <c r="P332" i="5" s="1"/>
  <c r="U334" i="5" l="1"/>
  <c r="R334" i="5"/>
  <c r="T334" i="5"/>
  <c r="V334" i="5" l="1"/>
  <c r="C334" i="5" s="1"/>
  <c r="D334" i="5" s="1"/>
  <c r="N335" i="5" s="1"/>
  <c r="Q336" i="5" s="1"/>
  <c r="B334" i="5" l="1"/>
  <c r="P334" i="5" s="1"/>
  <c r="N334" i="5"/>
  <c r="B335" i="5" s="1"/>
  <c r="T336" i="5"/>
  <c r="U336" i="5"/>
  <c r="R336" i="5"/>
  <c r="S336" i="5"/>
  <c r="V336" i="5" l="1"/>
  <c r="C336" i="5" s="1"/>
  <c r="D336" i="5" s="1"/>
  <c r="B336" i="5" l="1"/>
  <c r="P336" i="5" s="1"/>
  <c r="N337" i="5"/>
  <c r="Q338" i="5" s="1"/>
  <c r="N336" i="5"/>
  <c r="B337" i="5" s="1"/>
  <c r="U338" i="5" l="1"/>
  <c r="T338" i="5"/>
  <c r="S338" i="5"/>
  <c r="R338" i="5"/>
  <c r="V338" i="5" l="1"/>
  <c r="C338" i="5" s="1"/>
  <c r="D338" i="5" s="1"/>
  <c r="N339" i="5" s="1"/>
  <c r="Q340" i="5" s="1"/>
  <c r="R340" i="5" s="1"/>
  <c r="T340" i="5" l="1"/>
  <c r="B338" i="5"/>
  <c r="P338" i="5" s="1"/>
  <c r="U340" i="5"/>
  <c r="S340" i="5"/>
  <c r="N338" i="5"/>
  <c r="B339" i="5" s="1"/>
  <c r="V340" i="5" l="1"/>
  <c r="C340" i="5" s="1"/>
  <c r="D340" i="5" s="1"/>
  <c r="B340" i="5" s="1"/>
  <c r="P340" i="5" s="1"/>
  <c r="N340" i="5"/>
  <c r="B341" i="5" l="1"/>
  <c r="N341" i="5"/>
  <c r="Q342" i="5" s="1"/>
  <c r="T342" i="5" s="1"/>
  <c r="R342" i="5" l="1"/>
  <c r="U342" i="5"/>
  <c r="S342" i="5"/>
  <c r="N342" i="5"/>
  <c r="V342" i="5" l="1"/>
  <c r="C342" i="5" s="1"/>
  <c r="D342" i="5" s="1"/>
  <c r="B342" i="5" l="1"/>
  <c r="P342" i="5" s="1"/>
  <c r="N343" i="5"/>
  <c r="Q344" i="5" s="1"/>
  <c r="S344" i="5" s="1"/>
  <c r="B343" i="5"/>
  <c r="R344" i="5" l="1"/>
  <c r="T344" i="5"/>
  <c r="U344" i="5"/>
  <c r="N344" i="5"/>
  <c r="V344" i="5" l="1"/>
  <c r="C344" i="5" s="1"/>
  <c r="D344" i="5" s="1"/>
  <c r="B344" i="5" l="1"/>
  <c r="P344" i="5" s="1"/>
  <c r="N345" i="5"/>
  <c r="Q346" i="5" s="1"/>
  <c r="S346" i="5" s="1"/>
  <c r="B345" i="5"/>
  <c r="U346" i="5" l="1"/>
  <c r="T346" i="5"/>
  <c r="R346" i="5"/>
  <c r="V346" i="5" l="1"/>
  <c r="C346" i="5" s="1"/>
  <c r="D346" i="5" s="1"/>
  <c r="N346" i="5" s="1"/>
  <c r="B347" i="5" s="1"/>
  <c r="N347" i="5" l="1"/>
  <c r="Q348" i="5" s="1"/>
  <c r="T348" i="5" s="1"/>
  <c r="B346" i="5"/>
  <c r="P346" i="5" s="1"/>
  <c r="R348" i="5" l="1"/>
  <c r="U348" i="5"/>
  <c r="S348" i="5"/>
  <c r="V348" i="5" s="1"/>
  <c r="C348" i="5" s="1"/>
  <c r="D348" i="5" s="1"/>
  <c r="B348" i="5" s="1"/>
  <c r="P348" i="5" s="1"/>
  <c r="N349" i="5" l="1"/>
  <c r="Q350" i="5" s="1"/>
  <c r="N348" i="5"/>
  <c r="B349" i="5" s="1"/>
  <c r="U350" i="5" l="1"/>
  <c r="T350" i="5"/>
  <c r="R350" i="5"/>
  <c r="S350" i="5"/>
  <c r="V350" i="5" l="1"/>
  <c r="C350" i="5" s="1"/>
  <c r="D350" i="5" s="1"/>
  <c r="B350" i="5" s="1"/>
  <c r="N351" i="5" l="1"/>
  <c r="N350" i="5"/>
  <c r="B351" i="5" s="1"/>
  <c r="P350" i="5"/>
  <c r="Q352" i="5" l="1"/>
  <c r="U352" i="5" l="1"/>
  <c r="T352" i="5"/>
  <c r="S352" i="5"/>
  <c r="R352" i="5"/>
  <c r="V352" i="5" l="1"/>
  <c r="C352" i="5" s="1"/>
  <c r="D352" i="5" s="1"/>
  <c r="B352" i="5" s="1"/>
  <c r="P352" i="5" s="1"/>
  <c r="N352" i="5" l="1"/>
  <c r="B353" i="5" s="1"/>
  <c r="N353" i="5"/>
  <c r="Q354" i="5" s="1"/>
  <c r="R354" i="5" l="1"/>
  <c r="S354" i="5"/>
  <c r="T354" i="5"/>
  <c r="U354" i="5"/>
  <c r="V354" i="5" l="1"/>
  <c r="C354" i="5" s="1"/>
  <c r="D354" i="5" s="1"/>
  <c r="B354" i="5" s="1"/>
  <c r="P354" i="5" s="1"/>
  <c r="N354" i="5"/>
  <c r="N355" i="5" l="1"/>
  <c r="Q356" i="5" s="1"/>
  <c r="B355" i="5"/>
  <c r="R356" i="5" l="1"/>
  <c r="U356" i="5"/>
  <c r="S356" i="5"/>
  <c r="T356" i="5"/>
  <c r="V356" i="5" l="1"/>
  <c r="C356" i="5" s="1"/>
  <c r="D356" i="5" s="1"/>
  <c r="B356" i="5" s="1"/>
  <c r="P356" i="5" s="1"/>
  <c r="N357" i="5" l="1"/>
  <c r="Q358" i="5" s="1"/>
  <c r="N356" i="5"/>
  <c r="B357" i="5" s="1"/>
  <c r="R358" i="5" l="1"/>
  <c r="T358" i="5"/>
  <c r="S358" i="5"/>
  <c r="U358" i="5"/>
  <c r="V358" i="5" l="1"/>
  <c r="C358" i="5" s="1"/>
  <c r="D358" i="5" s="1"/>
  <c r="B358" i="5" s="1"/>
  <c r="P358" i="5" s="1"/>
  <c r="N359" i="5" l="1"/>
  <c r="Q360" i="5" s="1"/>
  <c r="N358" i="5"/>
  <c r="B359" i="5" s="1"/>
  <c r="T360" i="5" l="1"/>
  <c r="S360" i="5"/>
  <c r="U360" i="5"/>
  <c r="R360" i="5"/>
  <c r="V360" i="5" l="1"/>
  <c r="C360" i="5" s="1"/>
  <c r="D360" i="5" s="1"/>
  <c r="B360" i="5" s="1"/>
  <c r="P360" i="5" s="1"/>
  <c r="N360" i="5"/>
  <c r="N361" i="5" l="1"/>
  <c r="Q362" i="5" s="1"/>
  <c r="B361" i="5"/>
  <c r="S362" i="5" l="1"/>
  <c r="R362" i="5"/>
  <c r="T362" i="5"/>
  <c r="U362" i="5"/>
  <c r="V362" i="5" l="1"/>
  <c r="C362" i="5" s="1"/>
  <c r="D362" i="5" s="1"/>
  <c r="B362" i="5" l="1"/>
  <c r="P362" i="5" s="1"/>
  <c r="N362" i="5"/>
  <c r="B363" i="5" s="1"/>
  <c r="N363" i="5"/>
  <c r="Q364" i="5" l="1"/>
  <c r="U364" i="5" l="1"/>
  <c r="S364" i="5"/>
  <c r="T364" i="5"/>
  <c r="R364" i="5"/>
  <c r="V364" i="5" l="1"/>
  <c r="C364" i="5" s="1"/>
  <c r="D364" i="5" s="1"/>
  <c r="B364" i="5" s="1"/>
  <c r="P364" i="5" s="1"/>
  <c r="N364" i="5"/>
  <c r="B365" i="5" l="1"/>
  <c r="N365" i="5"/>
  <c r="Q366" i="5" s="1"/>
  <c r="S366" i="5" l="1"/>
  <c r="T366" i="5"/>
  <c r="R366" i="5"/>
  <c r="U366" i="5"/>
  <c r="V366" i="5" l="1"/>
  <c r="C366" i="5" s="1"/>
  <c r="D366" i="5" s="1"/>
  <c r="B366" i="5" l="1"/>
  <c r="P366" i="5" s="1"/>
  <c r="N366" i="5"/>
  <c r="B367" i="5" s="1"/>
  <c r="N367" i="5"/>
  <c r="Q368" i="5" l="1"/>
  <c r="R368" i="5" l="1"/>
  <c r="T368" i="5"/>
  <c r="S368" i="5"/>
  <c r="U368" i="5"/>
  <c r="V368" i="5" l="1"/>
  <c r="C368" i="5" s="1"/>
  <c r="D368" i="5" s="1"/>
  <c r="B368" i="5" s="1"/>
  <c r="P368" i="5" s="1"/>
  <c r="N368" i="5" l="1"/>
  <c r="B369" i="5" s="1"/>
  <c r="N369" i="5"/>
  <c r="Q370" i="5" s="1"/>
  <c r="U370" i="5" l="1"/>
  <c r="T370" i="5"/>
  <c r="R370" i="5"/>
  <c r="S370" i="5"/>
  <c r="V370" i="5" l="1"/>
  <c r="C370" i="5" s="1"/>
  <c r="D370" i="5" s="1"/>
  <c r="B370" i="5" s="1"/>
  <c r="N370" i="5" l="1"/>
  <c r="B371" i="5" s="1"/>
  <c r="N371" i="5"/>
  <c r="P370" i="5"/>
  <c r="Q372" i="5" l="1"/>
  <c r="S372" i="5" l="1"/>
  <c r="T372" i="5"/>
  <c r="R372" i="5"/>
  <c r="U372" i="5"/>
  <c r="V372" i="5" s="1"/>
  <c r="C372" i="5" s="1"/>
  <c r="D372" i="5" s="1"/>
  <c r="B372" i="5" s="1"/>
  <c r="N372" i="5" l="1"/>
  <c r="B373" i="5" s="1"/>
  <c r="N373" i="5"/>
  <c r="P372" i="5"/>
  <c r="Q374" i="5" l="1"/>
  <c r="T374" i="5" l="1"/>
  <c r="R374" i="5"/>
  <c r="S374" i="5"/>
  <c r="U374" i="5"/>
  <c r="V374" i="5" l="1"/>
  <c r="C374" i="5" s="1"/>
  <c r="D374" i="5" s="1"/>
  <c r="B374" i="5" s="1"/>
  <c r="P374" i="5" s="1"/>
  <c r="N374" i="5" l="1"/>
  <c r="B375" i="5" s="1"/>
  <c r="N375" i="5"/>
  <c r="Q376" i="5" s="1"/>
  <c r="U376" i="5" l="1"/>
  <c r="S376" i="5"/>
  <c r="R376" i="5"/>
  <c r="T376" i="5"/>
  <c r="V376" i="5" l="1"/>
  <c r="C376" i="5" s="1"/>
  <c r="D376" i="5" s="1"/>
  <c r="B376" i="5" s="1"/>
  <c r="P376" i="5" s="1"/>
  <c r="N377" i="5" l="1"/>
  <c r="Q378" i="5" s="1"/>
  <c r="N376" i="5"/>
  <c r="B377" i="5" s="1"/>
  <c r="R378" i="5" l="1"/>
  <c r="S378" i="5"/>
  <c r="T378" i="5"/>
  <c r="U378" i="5"/>
  <c r="V378" i="5" l="1"/>
  <c r="C378" i="5" s="1"/>
  <c r="D378" i="5" s="1"/>
  <c r="B378" i="5" s="1"/>
  <c r="N379" i="5" l="1"/>
  <c r="N378" i="5"/>
  <c r="B379" i="5" s="1"/>
  <c r="P378" i="5"/>
  <c r="Q380" i="5" l="1"/>
  <c r="R380" i="5" l="1"/>
  <c r="T380" i="5"/>
  <c r="S380" i="5"/>
  <c r="U380" i="5"/>
  <c r="V380" i="5" l="1"/>
  <c r="C380" i="5" s="1"/>
  <c r="D380" i="5" s="1"/>
  <c r="B380" i="5" s="1"/>
  <c r="P380" i="5" s="1"/>
  <c r="N380" i="5" l="1"/>
  <c r="B381" i="5" s="1"/>
  <c r="N381" i="5"/>
  <c r="Q382" i="5" s="1"/>
  <c r="S382" i="5" l="1"/>
  <c r="R382" i="5"/>
  <c r="T382" i="5"/>
  <c r="U382" i="5"/>
  <c r="V382" i="5" l="1"/>
  <c r="C382" i="5" s="1"/>
  <c r="D382" i="5" s="1"/>
  <c r="B382" i="5" s="1"/>
  <c r="P382" i="5" s="1"/>
  <c r="N382" i="5"/>
  <c r="N383" i="5" l="1"/>
  <c r="Q384" i="5" s="1"/>
  <c r="B383" i="5"/>
  <c r="T384" i="5" l="1"/>
  <c r="U384" i="5"/>
  <c r="S384" i="5"/>
  <c r="R384" i="5"/>
  <c r="V384" i="5" l="1"/>
  <c r="C384" i="5" s="1"/>
  <c r="D384" i="5" s="1"/>
  <c r="B384" i="5" s="1"/>
  <c r="P384" i="5" s="1"/>
  <c r="N385" i="5" l="1"/>
  <c r="Q386" i="5" s="1"/>
  <c r="N384" i="5"/>
  <c r="B385" i="5" s="1"/>
  <c r="U386" i="5" l="1"/>
  <c r="T386" i="5"/>
  <c r="R386" i="5"/>
  <c r="S386" i="5"/>
  <c r="V386" i="5" l="1"/>
  <c r="C386" i="5" s="1"/>
  <c r="D386" i="5" s="1"/>
  <c r="B386" i="5" s="1"/>
  <c r="N387" i="5" l="1"/>
  <c r="N386" i="5"/>
  <c r="B387" i="5" s="1"/>
  <c r="P386" i="5"/>
  <c r="Q388" i="5" l="1"/>
  <c r="R388" i="5" l="1"/>
  <c r="S388" i="5"/>
  <c r="T388" i="5"/>
  <c r="U388" i="5"/>
  <c r="V388" i="5" l="1"/>
  <c r="C388" i="5" s="1"/>
  <c r="D388" i="5" s="1"/>
  <c r="B388" i="5" s="1"/>
  <c r="P388" i="5" s="1"/>
  <c r="N388" i="5" l="1"/>
  <c r="B389" i="5" s="1"/>
  <c r="N389" i="5"/>
  <c r="Q390" i="5" s="1"/>
  <c r="R390" i="5" l="1"/>
  <c r="T390" i="5"/>
  <c r="S390" i="5"/>
  <c r="U390" i="5"/>
  <c r="V390" i="5" l="1"/>
  <c r="C390" i="5" s="1"/>
  <c r="D390" i="5" s="1"/>
  <c r="B390" i="5" s="1"/>
  <c r="P390" i="5" s="1"/>
  <c r="N390" i="5" l="1"/>
  <c r="B391" i="5" s="1"/>
  <c r="N391" i="5"/>
  <c r="Q392" i="5" s="1"/>
  <c r="U392" i="5" l="1"/>
  <c r="T392" i="5"/>
  <c r="R392" i="5"/>
  <c r="S392" i="5"/>
  <c r="V392" i="5" l="1"/>
  <c r="C392" i="5" s="1"/>
  <c r="D392" i="5" s="1"/>
  <c r="B392" i="5" s="1"/>
  <c r="P392" i="5" s="1"/>
  <c r="N392" i="5" l="1"/>
  <c r="B393" i="5" s="1"/>
  <c r="N393" i="5"/>
  <c r="Q394" i="5" s="1"/>
  <c r="S394" i="5" l="1"/>
  <c r="U394" i="5"/>
  <c r="T394" i="5"/>
  <c r="R394" i="5"/>
  <c r="V394" i="5" l="1"/>
  <c r="C394" i="5" s="1"/>
  <c r="D394" i="5" s="1"/>
  <c r="B394" i="5" s="1"/>
  <c r="P394" i="5" s="1"/>
  <c r="N394" i="5" l="1"/>
  <c r="B395" i="5" s="1"/>
  <c r="N395" i="5"/>
  <c r="Q396" i="5" s="1"/>
  <c r="U396" i="5" l="1"/>
  <c r="R396" i="5"/>
  <c r="T396" i="5"/>
  <c r="S396" i="5"/>
  <c r="V396" i="5" l="1"/>
  <c r="C396" i="5" s="1"/>
  <c r="D396" i="5" s="1"/>
  <c r="B396" i="5" s="1"/>
  <c r="P396" i="5" s="1"/>
  <c r="N396" i="5"/>
  <c r="B397" i="5" s="1"/>
  <c r="N397" i="5"/>
  <c r="Q398" i="5" s="1"/>
  <c r="T398" i="5" l="1"/>
  <c r="R398" i="5"/>
  <c r="S398" i="5"/>
  <c r="U398" i="5"/>
  <c r="V398" i="5" l="1"/>
  <c r="C398" i="5" s="1"/>
  <c r="D398" i="5" s="1"/>
  <c r="B398" i="5" s="1"/>
  <c r="N398" i="5"/>
  <c r="P398" i="5" l="1"/>
  <c r="P300" i="5" s="1"/>
  <c r="J99" i="6" s="1"/>
  <c r="C301" i="5"/>
  <c r="J96" i="6" l="1"/>
  <c r="O408" i="5"/>
  <c r="O404" i="5"/>
  <c r="O403" i="5"/>
  <c r="O421" i="5"/>
  <c r="O402" i="5"/>
  <c r="O415" i="5"/>
  <c r="O409" i="5"/>
  <c r="O413" i="5"/>
  <c r="O411" i="5"/>
  <c r="O416" i="5"/>
  <c r="O406" i="5"/>
  <c r="O420" i="5"/>
  <c r="O417" i="5"/>
  <c r="O418" i="5"/>
  <c r="O412" i="5"/>
  <c r="O407" i="5"/>
  <c r="O410" i="5"/>
  <c r="O401" i="5"/>
  <c r="O405" i="5"/>
  <c r="O419" i="5"/>
  <c r="O414" i="5"/>
  <c r="Y414" i="5" l="1"/>
  <c r="Q414" i="5"/>
  <c r="Q401" i="5"/>
  <c r="Y401" i="5"/>
  <c r="Q405" i="5"/>
  <c r="Y405" i="5"/>
  <c r="Q408" i="5"/>
  <c r="Y408" i="5"/>
  <c r="Q412" i="5"/>
  <c r="Y412" i="5"/>
  <c r="Q415" i="5"/>
  <c r="Y415" i="5"/>
  <c r="Y409" i="5"/>
  <c r="Q409" i="5"/>
  <c r="Y402" i="5"/>
  <c r="Q402" i="5"/>
  <c r="Y404" i="5"/>
  <c r="Q404" i="5"/>
  <c r="Q416" i="5"/>
  <c r="Y416" i="5"/>
  <c r="Q406" i="5"/>
  <c r="Y406" i="5"/>
  <c r="Y419" i="5"/>
  <c r="Q419" i="5"/>
  <c r="Q420" i="5"/>
  <c r="Y420" i="5"/>
  <c r="Q403" i="5"/>
  <c r="Y403" i="5"/>
  <c r="Y421" i="5"/>
  <c r="Q421" i="5"/>
  <c r="Y413" i="5"/>
  <c r="Q413" i="5"/>
  <c r="Q407" i="5"/>
  <c r="Y407" i="5"/>
  <c r="Q417" i="5"/>
  <c r="Y417" i="5"/>
  <c r="Q418" i="5"/>
  <c r="Y418" i="5"/>
  <c r="Y410" i="5"/>
  <c r="Q410" i="5"/>
  <c r="Y411" i="5"/>
  <c r="Q411" i="5"/>
  <c r="R410" i="5" l="1"/>
  <c r="T410" i="5"/>
  <c r="S410" i="5"/>
  <c r="U410" i="5"/>
  <c r="S413" i="5"/>
  <c r="U413" i="5"/>
  <c r="T413" i="5"/>
  <c r="R413" i="5"/>
  <c r="R419" i="5"/>
  <c r="S419" i="5"/>
  <c r="T419" i="5"/>
  <c r="U419" i="5"/>
  <c r="U402" i="5"/>
  <c r="S402" i="5"/>
  <c r="T402" i="5"/>
  <c r="R402" i="5"/>
  <c r="S417" i="5"/>
  <c r="U417" i="5"/>
  <c r="T417" i="5"/>
  <c r="R417" i="5"/>
  <c r="U403" i="5"/>
  <c r="T403" i="5"/>
  <c r="R403" i="5"/>
  <c r="S403" i="5"/>
  <c r="U416" i="5"/>
  <c r="T416" i="5"/>
  <c r="S416" i="5"/>
  <c r="R416" i="5"/>
  <c r="U415" i="5"/>
  <c r="S415" i="5"/>
  <c r="R415" i="5"/>
  <c r="T415" i="5"/>
  <c r="T408" i="5"/>
  <c r="S408" i="5"/>
  <c r="R408" i="5"/>
  <c r="V408" i="5" s="1"/>
  <c r="D408" i="5" s="1"/>
  <c r="U408" i="5"/>
  <c r="T401" i="5"/>
  <c r="S401" i="5"/>
  <c r="U401" i="5"/>
  <c r="R401" i="5"/>
  <c r="R411" i="5"/>
  <c r="S411" i="5"/>
  <c r="T411" i="5"/>
  <c r="V411" i="5" s="1"/>
  <c r="D411" i="5" s="1"/>
  <c r="U411" i="5"/>
  <c r="U421" i="5"/>
  <c r="T421" i="5"/>
  <c r="R421" i="5"/>
  <c r="V421" i="5" s="1"/>
  <c r="D421" i="5" s="1"/>
  <c r="S421" i="5"/>
  <c r="R404" i="5"/>
  <c r="T404" i="5"/>
  <c r="S404" i="5"/>
  <c r="U404" i="5"/>
  <c r="U409" i="5"/>
  <c r="R409" i="5"/>
  <c r="T409" i="5"/>
  <c r="S409" i="5"/>
  <c r="R414" i="5"/>
  <c r="U414" i="5"/>
  <c r="T414" i="5"/>
  <c r="S414" i="5"/>
  <c r="U418" i="5"/>
  <c r="R418" i="5"/>
  <c r="T418" i="5"/>
  <c r="S418" i="5"/>
  <c r="R407" i="5"/>
  <c r="S407" i="5"/>
  <c r="U407" i="5"/>
  <c r="T407" i="5"/>
  <c r="T420" i="5"/>
  <c r="R420" i="5"/>
  <c r="S420" i="5"/>
  <c r="U420" i="5"/>
  <c r="R406" i="5"/>
  <c r="U406" i="5"/>
  <c r="T406" i="5"/>
  <c r="S406" i="5"/>
  <c r="T412" i="5"/>
  <c r="U412" i="5"/>
  <c r="S412" i="5"/>
  <c r="V412" i="5" s="1"/>
  <c r="D412" i="5" s="1"/>
  <c r="R412" i="5"/>
  <c r="R405" i="5"/>
  <c r="U405" i="5"/>
  <c r="T405" i="5"/>
  <c r="S405" i="5"/>
  <c r="B411" i="5"/>
  <c r="B407" i="5"/>
  <c r="B415" i="5"/>
  <c r="B410" i="5"/>
  <c r="B414" i="5"/>
  <c r="B413" i="5"/>
  <c r="B408" i="5"/>
  <c r="B402" i="5"/>
  <c r="B417" i="5"/>
  <c r="B403" i="5"/>
  <c r="B406" i="5"/>
  <c r="B416" i="5"/>
  <c r="B412" i="5"/>
  <c r="B421" i="5"/>
  <c r="B405" i="5"/>
  <c r="V415" i="5" l="1"/>
  <c r="D415" i="5" s="1"/>
  <c r="V403" i="5"/>
  <c r="D403" i="5" s="1"/>
  <c r="V402" i="5"/>
  <c r="D402" i="5" s="1"/>
  <c r="V416" i="5"/>
  <c r="D416" i="5" s="1"/>
  <c r="V410" i="5"/>
  <c r="D410" i="5" s="1"/>
  <c r="V417" i="5"/>
  <c r="D417" i="5" s="1"/>
  <c r="V413" i="5"/>
  <c r="D413" i="5" s="1"/>
  <c r="V405" i="5"/>
  <c r="D405" i="5" s="1"/>
  <c r="V406" i="5"/>
  <c r="D406" i="5" s="1"/>
  <c r="V407" i="5"/>
  <c r="D407" i="5" s="1"/>
  <c r="V414" i="5"/>
  <c r="D414" i="5" s="1"/>
  <c r="X417" i="5"/>
  <c r="W417" i="5"/>
  <c r="W413" i="5"/>
  <c r="X413" i="5"/>
  <c r="X421" i="5"/>
  <c r="W421" i="5"/>
  <c r="W415" i="5"/>
  <c r="X415" i="5"/>
  <c r="X412" i="5"/>
  <c r="W412" i="5"/>
  <c r="W405" i="5"/>
  <c r="X405" i="5"/>
  <c r="W407" i="5"/>
  <c r="X407" i="5"/>
  <c r="X416" i="5"/>
  <c r="W416" i="5"/>
  <c r="W406" i="5"/>
  <c r="X406" i="5"/>
  <c r="X408" i="5"/>
  <c r="W408" i="5"/>
  <c r="W402" i="5"/>
  <c r="X402" i="5"/>
  <c r="W414" i="5"/>
  <c r="X414" i="5"/>
  <c r="W403" i="5"/>
  <c r="X403" i="5"/>
  <c r="W410" i="5"/>
  <c r="X410" i="5"/>
  <c r="W411" i="5"/>
  <c r="X411" i="5"/>
  <c r="V409" i="5"/>
  <c r="D409" i="5" s="1"/>
  <c r="V420" i="5"/>
  <c r="D420" i="5" s="1"/>
  <c r="V418" i="5"/>
  <c r="D418" i="5" s="1"/>
  <c r="V404" i="5"/>
  <c r="D404" i="5" s="1"/>
  <c r="V401" i="5"/>
  <c r="D401" i="5" s="1"/>
  <c r="V419" i="5"/>
  <c r="D419" i="5" s="1"/>
  <c r="B404" i="5"/>
  <c r="B420" i="5"/>
  <c r="B409" i="5"/>
  <c r="B419" i="5"/>
  <c r="B418" i="5"/>
  <c r="B401" i="5"/>
  <c r="C410" i="5" l="1"/>
  <c r="C405" i="5"/>
  <c r="C415" i="5"/>
  <c r="C414" i="5"/>
  <c r="C407" i="5"/>
  <c r="C412" i="5"/>
  <c r="C421" i="5"/>
  <c r="C417" i="5"/>
  <c r="C403" i="5"/>
  <c r="W401" i="5"/>
  <c r="X401" i="5"/>
  <c r="W419" i="5"/>
  <c r="X419" i="5"/>
  <c r="W420" i="5"/>
  <c r="X420" i="5"/>
  <c r="X409" i="5"/>
  <c r="W409" i="5"/>
  <c r="X404" i="5"/>
  <c r="W404" i="5"/>
  <c r="W418" i="5"/>
  <c r="X418" i="5"/>
  <c r="C408" i="5"/>
  <c r="C416" i="5"/>
  <c r="C413" i="5"/>
  <c r="C411" i="5"/>
  <c r="C402" i="5"/>
  <c r="C406" i="5"/>
  <c r="C420" i="5" l="1"/>
  <c r="C418" i="5"/>
  <c r="C409" i="5"/>
  <c r="C419" i="5"/>
  <c r="C404" i="5"/>
  <c r="C401" i="5"/>
</calcChain>
</file>

<file path=xl/comments1.xml><?xml version="1.0" encoding="utf-8"?>
<comments xmlns="http://schemas.openxmlformats.org/spreadsheetml/2006/main">
  <authors>
    <author/>
  </authors>
  <commentList>
    <comment ref="C301" authorId="0">
      <text>
        <r>
          <rPr>
            <sz val="10"/>
            <color rgb="FF000000"/>
            <rFont val="Arial"/>
          </rPr>
          <t xml:space="preserve">Np  (número de platos reales)
</t>
        </r>
      </text>
    </comment>
    <comment ref="D301" authorId="0">
      <text>
        <r>
          <rPr>
            <sz val="10"/>
            <color rgb="FF000000"/>
            <rFont val="Arial"/>
          </rPr>
          <t xml:space="preserve">Em  (Eficiencia de Murphree)
</t>
        </r>
      </text>
    </comment>
    <comment ref="C302" authorId="0">
      <text>
        <r>
          <rPr>
            <sz val="10"/>
            <color rgb="FF000000"/>
            <rFont val="Arial"/>
          </rPr>
          <t xml:space="preserve">Si fuera equilibrio
</t>
        </r>
      </text>
    </comment>
  </commentList>
</comments>
</file>

<file path=xl/sharedStrings.xml><?xml version="1.0" encoding="utf-8"?>
<sst xmlns="http://schemas.openxmlformats.org/spreadsheetml/2006/main" count="811" uniqueCount="359">
  <si>
    <t>Sistemas para equilibrio Líquido-Vapor</t>
  </si>
  <si>
    <t>Constantes de Van Laar</t>
  </si>
  <si>
    <t>Base de Datos</t>
  </si>
  <si>
    <t xml:space="preserve">Sistema: </t>
  </si>
  <si>
    <t>Usuario: Datos ingresados</t>
  </si>
  <si>
    <t>Sistema</t>
  </si>
  <si>
    <t>1.00 atm</t>
  </si>
  <si>
    <t>0.978 atm</t>
  </si>
  <si>
    <t>x1</t>
  </si>
  <si>
    <t>y1</t>
  </si>
  <si>
    <t>T (°C)</t>
  </si>
  <si>
    <t>Presiones</t>
  </si>
  <si>
    <t>1-Propanol (1), Agua (2)</t>
  </si>
  <si>
    <t xml:space="preserve">Compuesto 1 - Constantes de Antoine </t>
  </si>
  <si>
    <t xml:space="preserve">Compuesto 2 - Constantes de Antoine </t>
  </si>
  <si>
    <t>Compuesto 1</t>
  </si>
  <si>
    <t>Compuesto 2</t>
  </si>
  <si>
    <t>A_12</t>
  </si>
  <si>
    <t>A_21</t>
  </si>
  <si>
    <t>A</t>
  </si>
  <si>
    <t>B</t>
  </si>
  <si>
    <t>C</t>
  </si>
  <si>
    <t>2-Propanol (1), Agua (2)</t>
  </si>
  <si>
    <t>1-Propanol</t>
  </si>
  <si>
    <t>Agua</t>
  </si>
  <si>
    <t>Acetato de etilo (1), Etanol (2)</t>
  </si>
  <si>
    <t>2-Propanol</t>
  </si>
  <si>
    <t>Acetato de etilo</t>
  </si>
  <si>
    <t>Acetato de metilo (1), Metanol (2)</t>
  </si>
  <si>
    <t>Etanol</t>
  </si>
  <si>
    <t>Acetato de metilo</t>
  </si>
  <si>
    <t>Metanol</t>
  </si>
  <si>
    <t>Acetona (1), Agua (2)</t>
  </si>
  <si>
    <t>Acetona</t>
  </si>
  <si>
    <t>Equilibrio Líquido Vapor</t>
  </si>
  <si>
    <t>Acetona (1), Cloroformo (2)</t>
  </si>
  <si>
    <t xml:space="preserve">Ver manual de usuario en: </t>
  </si>
  <si>
    <t>Cloroformo</t>
  </si>
  <si>
    <t>Acetona (1), Metanol (2)</t>
  </si>
  <si>
    <t>Agua (1), 1-butanol (2)</t>
  </si>
  <si>
    <t>1-butanol</t>
  </si>
  <si>
    <t>Agua (1), Ácido Acético (2)</t>
  </si>
  <si>
    <t>Ácido Acético</t>
  </si>
  <si>
    <t>http://bit.ly/ManualEq</t>
  </si>
  <si>
    <t>Agua (1), Ácido Fórmico (2)</t>
  </si>
  <si>
    <t>Ácido Fórmico</t>
  </si>
  <si>
    <t>Cloroformo (1), Metanol (2)</t>
  </si>
  <si>
    <t>Etanol (1), Agua (2)</t>
  </si>
  <si>
    <t>Etanol (1), Benceno (2)</t>
  </si>
  <si>
    <t>Benceno</t>
  </si>
  <si>
    <t>Paso 1</t>
  </si>
  <si>
    <t>Metanol (1), Acetato de etilo (2)</t>
  </si>
  <si>
    <t>Metanol (1), Agua (2)</t>
  </si>
  <si>
    <t>Seleccionar el sistema a utilizar:</t>
  </si>
  <si>
    <t>Metanol (1), Benceno (2)</t>
  </si>
  <si>
    <t>n-Hexano (1), Etanol (2)</t>
  </si>
  <si>
    <t>n-Hexano</t>
  </si>
  <si>
    <t>Tetracloruro de carbono (1), Benceno (2)</t>
  </si>
  <si>
    <t>Tetracloruro de carbono</t>
  </si>
  <si>
    <t>Tetrahidrofurano (1), Agua (2)</t>
  </si>
  <si>
    <t>Tetrahidrofurano</t>
  </si>
  <si>
    <t>Fuente: Perry, Robert H., and Don W. Green. Perry's Chemical Engineers' Handbook. New York: McGraw-Hill, 2008. Print.</t>
  </si>
  <si>
    <t xml:space="preserve">Datos extraídos de los cuadros 13-2 y 13-4 de la 8va. edición del libro. </t>
  </si>
  <si>
    <t>Capacidades Caloríficas y calores latentes de los compuestos</t>
  </si>
  <si>
    <t>Nota: Las constantes se modifican automáticamente con el sistema</t>
  </si>
  <si>
    <t>Capacidad calorífica  [J/(kmol K)]</t>
  </si>
  <si>
    <t>Constantes de Antoine</t>
  </si>
  <si>
    <t>Componente</t>
  </si>
  <si>
    <t>Calor Latente  [J/kmol]</t>
  </si>
  <si>
    <t>Código</t>
  </si>
  <si>
    <t>Compuesto</t>
  </si>
  <si>
    <t>Fórmula</t>
  </si>
  <si>
    <t>Masa molar</t>
  </si>
  <si>
    <t>C1</t>
  </si>
  <si>
    <t>C2</t>
  </si>
  <si>
    <t>C3</t>
  </si>
  <si>
    <t>(1)</t>
  </si>
  <si>
    <t>(2)</t>
  </si>
  <si>
    <t>Parámetros de Van Laar para interacción binaria</t>
  </si>
  <si>
    <t>Paso 2</t>
  </si>
  <si>
    <t>Presión de trabajo</t>
  </si>
  <si>
    <t>Ingresar la presión de trabajo:</t>
  </si>
  <si>
    <t>P_trab</t>
  </si>
  <si>
    <t>Atm</t>
  </si>
  <si>
    <t>Torr</t>
  </si>
  <si>
    <t>Psi</t>
  </si>
  <si>
    <t>Cálculo de equilibrio a la presión de trabajo</t>
  </si>
  <si>
    <t>Paso 3</t>
  </si>
  <si>
    <t>Presión de saturación</t>
  </si>
  <si>
    <t>Presión Parcial</t>
  </si>
  <si>
    <t>x2</t>
  </si>
  <si>
    <t>Ɣ1</t>
  </si>
  <si>
    <t>Ɣ2</t>
  </si>
  <si>
    <t>T  (°C)</t>
  </si>
  <si>
    <t>P_1sat (Torr)</t>
  </si>
  <si>
    <t>P_2sat  (Torr)</t>
  </si>
  <si>
    <t>y1P  (Torr)</t>
  </si>
  <si>
    <t>y2P   (Torr)</t>
  </si>
  <si>
    <t>P_tot   (Torr)</t>
  </si>
  <si>
    <t>P_tot/P_trab</t>
  </si>
  <si>
    <t>y2</t>
  </si>
  <si>
    <t>Diagonal 45°</t>
  </si>
  <si>
    <t xml:space="preserve">Usuario: Datos ingresados </t>
  </si>
  <si>
    <t>Presión: 1 Atm</t>
  </si>
  <si>
    <t>C4</t>
  </si>
  <si>
    <t>C5</t>
  </si>
  <si>
    <t>Tc, K</t>
  </si>
  <si>
    <t>C4H10O</t>
  </si>
  <si>
    <t>C3H8O</t>
  </si>
  <si>
    <t>C4H8O2</t>
  </si>
  <si>
    <t>C3H6O2</t>
  </si>
  <si>
    <t>C3H6O</t>
  </si>
  <si>
    <t>C2H4O2</t>
  </si>
  <si>
    <t>CH2O2</t>
  </si>
  <si>
    <t>H2O</t>
  </si>
  <si>
    <t>C6H6</t>
  </si>
  <si>
    <t>CHCl3</t>
  </si>
  <si>
    <t>C2H6O</t>
  </si>
  <si>
    <t>CH4O</t>
  </si>
  <si>
    <t>C6H14</t>
  </si>
  <si>
    <t>CCl4</t>
  </si>
  <si>
    <t>C4H8O</t>
  </si>
  <si>
    <t xml:space="preserve">Datos extraídos de los cuadros 2-153,  2-150 y 2-141 de la 8va. edición del libro. </t>
  </si>
  <si>
    <t xml:space="preserve">Ingreso de datos </t>
  </si>
  <si>
    <t>Ingreso de Datos  (ingresar datos en las celdas blancas)</t>
  </si>
  <si>
    <t>Ingrese los compuestos a utilizar</t>
  </si>
  <si>
    <t xml:space="preserve">Ingrese los datos de equilibrio </t>
  </si>
  <si>
    <t>(Compuesto 1 es el más volatil)</t>
  </si>
  <si>
    <t>Diag. 45°</t>
  </si>
  <si>
    <t>Valores x recomendados</t>
  </si>
  <si>
    <t>Disulfuro de carbono</t>
  </si>
  <si>
    <t>Presión: 0.978 Atm</t>
  </si>
  <si>
    <t xml:space="preserve"> de </t>
  </si>
  <si>
    <t>Ingrese la Masa molar (g/mol)</t>
  </si>
  <si>
    <t xml:space="preserve">Nota: Puede obtener la información del equilibrio en: </t>
  </si>
  <si>
    <t>http://vle-calc.com/phase_diagram.html</t>
  </si>
  <si>
    <t>P trabajo</t>
  </si>
  <si>
    <t>atm</t>
  </si>
  <si>
    <t>Constantes para Capacidades caloríficas específicas en J/kmol K</t>
  </si>
  <si>
    <t>J/kmol K</t>
  </si>
  <si>
    <t>Constantes para Calor latente (λ) en J/kmol</t>
  </si>
  <si>
    <t>Temperatura crítica en K</t>
  </si>
  <si>
    <t>Tc</t>
  </si>
  <si>
    <t>J/kmol</t>
  </si>
  <si>
    <t>Líneas de tendencia y graficación</t>
  </si>
  <si>
    <t>↑ Aquí no es necesario modificar los valores de x</t>
  </si>
  <si>
    <t>↑ Con el complemento "Solver" se modifica cada celda T (°C) de la columna E, teniendo como celda objetivo la celda correspondiente P_tot/P_trab en la columna K, ajustandola a un valor de 1.0 (Método Standard LSGRG Non linear)</t>
  </si>
  <si>
    <t>Puedes instalar el complemento desde el siguiente enlace:</t>
  </si>
  <si>
    <t>https://chrome.google.com/webstore/detail/solver/iennicjichkeiajiflbcmaaohildohpb?utm_source=permalink</t>
  </si>
  <si>
    <t>y1*</t>
  </si>
  <si>
    <t>T (°C) sat</t>
  </si>
  <si>
    <t>T (K) sat</t>
  </si>
  <si>
    <t>Balance de Masa y Energía</t>
  </si>
  <si>
    <t>http://bit.ly/ManualMcCabeT</t>
  </si>
  <si>
    <t>Presión (atm):</t>
  </si>
  <si>
    <t xml:space="preserve">Datos </t>
  </si>
  <si>
    <t>Línea de tendencia T(K) vs. x1</t>
  </si>
  <si>
    <t>x1²</t>
  </si>
  <si>
    <t>x1³</t>
  </si>
  <si>
    <t>x1⁴</t>
  </si>
  <si>
    <t>x1⁵</t>
  </si>
  <si>
    <t>x1⁶</t>
  </si>
  <si>
    <t>x1⁷</t>
  </si>
  <si>
    <t>x1⁸</t>
  </si>
  <si>
    <t>x1⁹</t>
  </si>
  <si>
    <t>x1¹⁰</t>
  </si>
  <si>
    <t>T (K) calculado</t>
  </si>
  <si>
    <t>% de error</t>
  </si>
  <si>
    <t xml:space="preserve">Ingrese los siguientes datos: </t>
  </si>
  <si>
    <t>zF</t>
  </si>
  <si>
    <t>F</t>
  </si>
  <si>
    <t>xD</t>
  </si>
  <si>
    <t>Qt</t>
  </si>
  <si>
    <t>kJ/h</t>
  </si>
  <si>
    <t xml:space="preserve">(Opcional,Calor perdido en el sistema) </t>
  </si>
  <si>
    <t>xW</t>
  </si>
  <si>
    <t xml:space="preserve">Tipo de destilación: </t>
  </si>
  <si>
    <t>Rehervidor</t>
  </si>
  <si>
    <t xml:space="preserve">Tipo de alimentación: </t>
  </si>
  <si>
    <t xml:space="preserve">Temperatura de referencia: </t>
  </si>
  <si>
    <t>Tsat D</t>
  </si>
  <si>
    <t>Entalpías y fracciones molares</t>
  </si>
  <si>
    <t>Masa molar (g/mol)</t>
  </si>
  <si>
    <t>Alimentación</t>
  </si>
  <si>
    <t>mol soluto/mol solución</t>
  </si>
  <si>
    <t>Tsat F</t>
  </si>
  <si>
    <t>K</t>
  </si>
  <si>
    <t>λ sol</t>
  </si>
  <si>
    <t>x</t>
  </si>
  <si>
    <t>y</t>
  </si>
  <si>
    <t>J/mol</t>
  </si>
  <si>
    <t>Cp,m,F</t>
  </si>
  <si>
    <t>J/mol K</t>
  </si>
  <si>
    <t>Tref /K</t>
  </si>
  <si>
    <t>H f, L</t>
  </si>
  <si>
    <t>Capacidades caloríficas específicas</t>
  </si>
  <si>
    <t>Hf</t>
  </si>
  <si>
    <t>CpL(J/kmolK)</t>
  </si>
  <si>
    <t>CpL(J/molK)</t>
  </si>
  <si>
    <t>Hf,G</t>
  </si>
  <si>
    <t>Residuos</t>
  </si>
  <si>
    <t>x W</t>
  </si>
  <si>
    <t>Calor latente (λ)</t>
  </si>
  <si>
    <t>Tsat W</t>
  </si>
  <si>
    <t>Tc /K</t>
  </si>
  <si>
    <t>Tr F</t>
  </si>
  <si>
    <t>λ (J/kmol)</t>
  </si>
  <si>
    <t>λ (J/mol)</t>
  </si>
  <si>
    <t>Cp,m,W</t>
  </si>
  <si>
    <t>Hw</t>
  </si>
  <si>
    <t>Tr G1</t>
  </si>
  <si>
    <t>Destilado</t>
  </si>
  <si>
    <t>Coeficientes de la línea de tendencia</t>
  </si>
  <si>
    <t>m10</t>
  </si>
  <si>
    <t>m9</t>
  </si>
  <si>
    <t>m8</t>
  </si>
  <si>
    <t>m7</t>
  </si>
  <si>
    <t>m6</t>
  </si>
  <si>
    <t>m5</t>
  </si>
  <si>
    <t>m4</t>
  </si>
  <si>
    <t>m3</t>
  </si>
  <si>
    <t>m2</t>
  </si>
  <si>
    <t>m1</t>
  </si>
  <si>
    <t>mb</t>
  </si>
  <si>
    <t>Estadísticas completas</t>
  </si>
  <si>
    <t>Cp,m,D</t>
  </si>
  <si>
    <t>Tr G</t>
  </si>
  <si>
    <t>H.D</t>
  </si>
  <si>
    <t>-</t>
  </si>
  <si>
    <t>coeficientes</t>
  </si>
  <si>
    <t>Val. de error est.</t>
  </si>
  <si>
    <t>se10</t>
  </si>
  <si>
    <t>se9</t>
  </si>
  <si>
    <t>se8</t>
  </si>
  <si>
    <t>se7</t>
  </si>
  <si>
    <t>se6</t>
  </si>
  <si>
    <t>se5</t>
  </si>
  <si>
    <t>se4</t>
  </si>
  <si>
    <t>se3</t>
  </si>
  <si>
    <t>se2</t>
  </si>
  <si>
    <t>se1</t>
  </si>
  <si>
    <t>seb</t>
  </si>
  <si>
    <t>R cuadrado</t>
  </si>
  <si>
    <t>r²</t>
  </si>
  <si>
    <t>se_y</t>
  </si>
  <si>
    <t>Error estándar para el cálculo de y</t>
  </si>
  <si>
    <t>Valor F observado</t>
  </si>
  <si>
    <t>d_f</t>
  </si>
  <si>
    <t>grados de libertad</t>
  </si>
  <si>
    <t>Suma regr. cuadrados</t>
  </si>
  <si>
    <t>ss_reg</t>
  </si>
  <si>
    <t>ss_resid</t>
  </si>
  <si>
    <t>Suma residual de los cuadrados</t>
  </si>
  <si>
    <t>Línea de tendencia y vs. x</t>
  </si>
  <si>
    <t>y1 calculado</t>
  </si>
  <si>
    <t>Porcentaje de error</t>
  </si>
  <si>
    <t>Salida de torre</t>
  </si>
  <si>
    <t>yG1</t>
  </si>
  <si>
    <t>Tsat G1</t>
  </si>
  <si>
    <t>Cp,m,G1</t>
  </si>
  <si>
    <t>H.G1</t>
  </si>
  <si>
    <t>Paso 4</t>
  </si>
  <si>
    <t>Curva Q</t>
  </si>
  <si>
    <t>Elija si entre la curva de enriquecimiento y de equilibrio habrá tangencia o no:</t>
  </si>
  <si>
    <t>Valor q</t>
  </si>
  <si>
    <t>Sin Tangencia</t>
  </si>
  <si>
    <t>Pendiente q</t>
  </si>
  <si>
    <t>Intercepto q</t>
  </si>
  <si>
    <t>Nota: Puede ingresar un valor  e irlo modificando hasta que la curva q (se muestra abajo) alcance el equilibrio.</t>
  </si>
  <si>
    <t>R min</t>
  </si>
  <si>
    <t>Relación de reflujo</t>
  </si>
  <si>
    <t>No. de veces Rmin</t>
  </si>
  <si>
    <t>R</t>
  </si>
  <si>
    <t>y=xD/(R+1)</t>
  </si>
  <si>
    <t>¿Desea mostrar el número de etapas mínimas?</t>
  </si>
  <si>
    <t>Mostrar</t>
  </si>
  <si>
    <t>¿Desea ocultar la línea de enriquecimiento en Rmin?</t>
  </si>
  <si>
    <t>No. de etapas Reales</t>
  </si>
  <si>
    <t>Np</t>
  </si>
  <si>
    <t>Etapa de alimentación</t>
  </si>
  <si>
    <t>Etapa No.</t>
  </si>
  <si>
    <t>¿Desea mostrar la curva de pseudoequilibrio?</t>
  </si>
  <si>
    <t>Resolución del Balance de masa y Energía</t>
  </si>
  <si>
    <t>mol/h</t>
  </si>
  <si>
    <t>J/h</t>
  </si>
  <si>
    <t>Resultados</t>
  </si>
  <si>
    <t>Matriz</t>
  </si>
  <si>
    <t>Ax=B</t>
  </si>
  <si>
    <t>D</t>
  </si>
  <si>
    <t>W</t>
  </si>
  <si>
    <t>Qc</t>
  </si>
  <si>
    <t>B (constantes)</t>
  </si>
  <si>
    <t>kg/h</t>
  </si>
  <si>
    <t>x=A⁻¹B</t>
  </si>
  <si>
    <t>Matriz inversa</t>
  </si>
  <si>
    <t>x (resultados)</t>
  </si>
  <si>
    <t>Flujos de líquido y vapor</t>
  </si>
  <si>
    <t>Sección de Enriquecimiento</t>
  </si>
  <si>
    <t>L</t>
  </si>
  <si>
    <t>G</t>
  </si>
  <si>
    <t>Sección de Agotamiento</t>
  </si>
  <si>
    <t>Ḹ</t>
  </si>
  <si>
    <t>Ḡ</t>
  </si>
  <si>
    <t>Valores para interpolación x vs. y</t>
  </si>
  <si>
    <t>ascendente</t>
  </si>
  <si>
    <t xml:space="preserve">x1  </t>
  </si>
  <si>
    <t>y1 Descendente</t>
  </si>
  <si>
    <t>x1 descendente</t>
  </si>
  <si>
    <t>Línea q</t>
  </si>
  <si>
    <t>xF</t>
  </si>
  <si>
    <t>Enriquecimiento Rmin</t>
  </si>
  <si>
    <t>Enriquecimiento</t>
  </si>
  <si>
    <t>Agotamiento</t>
  </si>
  <si>
    <t xml:space="preserve"> Etapas min.</t>
  </si>
  <si>
    <t>Etapas reales</t>
  </si>
  <si>
    <t>Pseudoequilibrio</t>
  </si>
  <si>
    <t>20161171481158261102</t>
  </si>
  <si>
    <t>5FBIfOiuZAtlXg0z</t>
  </si>
  <si>
    <t>pFuArk3LuA3CuFuA</t>
  </si>
  <si>
    <t>eRY=</t>
  </si>
  <si>
    <t>NxQy</t>
  </si>
  <si>
    <t>BWhyeVZ/WUR2cFhcdFYcSht2cnlVY1lZa3FEQGhLAFQFcXdlVX9FRHZx</t>
  </si>
  <si>
    <t>Bnc=</t>
  </si>
  <si>
    <t/>
  </si>
  <si>
    <t>Curva q</t>
  </si>
  <si>
    <t>Paso</t>
  </si>
  <si>
    <t>Linea xD</t>
  </si>
  <si>
    <t>Línea xW</t>
  </si>
  <si>
    <t>Línea xF</t>
  </si>
  <si>
    <t>Curva de enriquecimiento R_min</t>
  </si>
  <si>
    <t xml:space="preserve">Intercepto </t>
  </si>
  <si>
    <t>Pendiente</t>
  </si>
  <si>
    <t>Curva de enriquecimiento R elegido</t>
  </si>
  <si>
    <t>Curva de Agotamiento</t>
  </si>
  <si>
    <t>Etapas mínimas</t>
  </si>
  <si>
    <t>Nm</t>
  </si>
  <si>
    <t>Etapas Reales</t>
  </si>
  <si>
    <t>Rehevidor</t>
  </si>
  <si>
    <t>Pronóstico</t>
  </si>
  <si>
    <t>Celda objetivo</t>
  </si>
  <si>
    <t>x inferior</t>
  </si>
  <si>
    <t>x superior</t>
  </si>
  <si>
    <t>y inferior</t>
  </si>
  <si>
    <t>y superior</t>
  </si>
  <si>
    <t>Ocultar</t>
  </si>
  <si>
    <t>Vapor vivo</t>
  </si>
  <si>
    <t>Em vapor</t>
  </si>
  <si>
    <t>Em Liquido</t>
  </si>
  <si>
    <t>Sin valor (usar Em=1)</t>
  </si>
  <si>
    <t>Operación vapor</t>
  </si>
  <si>
    <t>Operación líquido</t>
  </si>
  <si>
    <t>Equilibrio liq</t>
  </si>
  <si>
    <t>Equilibrio vapor</t>
  </si>
  <si>
    <t>Líquido + Vapor</t>
  </si>
  <si>
    <t xml:space="preserve">Manual de usuario en: </t>
  </si>
  <si>
    <t xml:space="preserve">Guía interactiva en: </t>
  </si>
  <si>
    <t>http://bit.ly/SDestDetalles</t>
  </si>
  <si>
    <t>No Mostrar</t>
  </si>
  <si>
    <t>% masa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</si>
</sst>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000"/>
    <numFmt numFmtId="165" formatCode="0.00000"/>
    <numFmt numFmtId="166" formatCode="0.000"/>
    <numFmt numFmtId="167" formatCode="0.0000000"/>
    <numFmt numFmtId="168" formatCode="#,##0.000"/>
    <numFmt numFmtId="169" formatCode="#,##0.0000"/>
    <numFmt numFmtId="170" formatCode="0.000000"/>
    <numFmt numFmtId="171" formatCode="0.000%"/>
    <numFmt numFmtId="172" formatCode="0.0"/>
  </numFmts>
  <fonts count="52">
    <font>
      <sz val="10"/>
      <color rgb="FF000000"/>
      <name val="Arial"/>
    </font>
    <font>
      <sz val="18"/>
      <color rgb="FF741B47"/>
      <name val="Alfa Slab One"/>
    </font>
    <font>
      <sz val="10"/>
      <name val="Arial"/>
    </font>
    <font>
      <sz val="10"/>
      <name val="Arial"/>
    </font>
    <font>
      <sz val="24"/>
      <color rgb="FFFFFFFF"/>
      <name val="Cambria"/>
    </font>
    <font>
      <b/>
      <sz val="12"/>
      <color rgb="FF000000"/>
      <name val="Cutive Mono"/>
    </font>
    <font>
      <sz val="12"/>
      <color rgb="FF000000"/>
      <name val="Cutive Mono"/>
    </font>
    <font>
      <sz val="9"/>
      <name val="Arial"/>
    </font>
    <font>
      <b/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color rgb="FFFFFFFF"/>
      <name val="Cutive Mono"/>
    </font>
    <font>
      <u/>
      <sz val="10"/>
      <color rgb="FFFFFFFF"/>
      <name val="Cutive Mono"/>
    </font>
    <font>
      <b/>
      <sz val="18"/>
      <color rgb="FF0B5394"/>
      <name val="Cutive Mono"/>
    </font>
    <font>
      <b/>
      <sz val="14"/>
      <name val="Arial"/>
    </font>
    <font>
      <sz val="10"/>
      <color rgb="FF666666"/>
      <name val="Arial"/>
    </font>
    <font>
      <sz val="14"/>
      <name val="Arial"/>
    </font>
    <font>
      <sz val="18"/>
      <color rgb="FFBF9000"/>
      <name val="Alfa Slab One"/>
    </font>
    <font>
      <sz val="10"/>
      <name val="Cutive Mono"/>
    </font>
    <font>
      <sz val="10"/>
      <name val="Arial"/>
    </font>
    <font>
      <b/>
      <sz val="12"/>
      <color rgb="FFFFFFFF"/>
      <name val="Cutive Mono"/>
    </font>
    <font>
      <sz val="10"/>
      <color rgb="FF000000"/>
      <name val="Cutive Mono"/>
    </font>
    <font>
      <b/>
      <sz val="10"/>
      <color rgb="FF000000"/>
      <name val="Cutive Mono"/>
    </font>
    <font>
      <sz val="8"/>
      <color rgb="FF000000"/>
      <name val="Cutive Mono"/>
    </font>
    <font>
      <u/>
      <sz val="8"/>
      <color rgb="FF990000"/>
      <name val="Cutive Mono"/>
    </font>
    <font>
      <sz val="10"/>
      <color rgb="FF000000"/>
      <name val="Arial"/>
    </font>
    <font>
      <u/>
      <sz val="10"/>
      <color rgb="FF000000"/>
      <name val="Cutive Mono"/>
    </font>
    <font>
      <b/>
      <sz val="14"/>
      <color rgb="FF000000"/>
      <name val="Cutive Mono"/>
    </font>
    <font>
      <sz val="12"/>
      <name val="Cambria"/>
    </font>
    <font>
      <b/>
      <sz val="10"/>
      <name val="Cutive Mono"/>
    </font>
    <font>
      <sz val="10"/>
      <color rgb="FFFFFFFF"/>
      <name val="Arial"/>
    </font>
    <font>
      <b/>
      <sz val="11"/>
      <color rgb="FF000000"/>
      <name val="Arial"/>
    </font>
    <font>
      <sz val="10"/>
      <color rgb="FF000000"/>
      <name val="Cutive Mono"/>
    </font>
    <font>
      <b/>
      <sz val="10"/>
      <color rgb="FFCC0000"/>
      <name val="Cutive Mono"/>
    </font>
    <font>
      <sz val="12"/>
      <name val="Cutive Mono"/>
    </font>
    <font>
      <b/>
      <sz val="10"/>
      <color rgb="FF000000"/>
      <name val="Arial"/>
    </font>
    <font>
      <b/>
      <sz val="10"/>
      <color rgb="FF3D85C6"/>
      <name val="Cutive Mono"/>
    </font>
    <font>
      <b/>
      <sz val="10"/>
      <color rgb="FF3D85C6"/>
      <name val="Cutive Mono"/>
    </font>
    <font>
      <b/>
      <sz val="10"/>
      <color rgb="FF6AA84F"/>
      <name val="Cutive Mono"/>
    </font>
    <font>
      <b/>
      <sz val="10"/>
      <color rgb="FFF1C232"/>
      <name val="Cutive Mono"/>
    </font>
    <font>
      <b/>
      <sz val="10"/>
      <color rgb="FF999999"/>
      <name val="Cutive Mono"/>
    </font>
    <font>
      <sz val="9"/>
      <name val="Cutive Mono"/>
    </font>
    <font>
      <sz val="9"/>
      <color rgb="FF000000"/>
      <name val="Cutive Mono"/>
    </font>
    <font>
      <b/>
      <sz val="10"/>
      <name val="Arial"/>
    </font>
    <font>
      <b/>
      <sz val="14"/>
      <name val="Cutive Mono"/>
    </font>
    <font>
      <b/>
      <sz val="12"/>
      <name val="Cutive Mono"/>
    </font>
    <font>
      <sz val="11"/>
      <color rgb="FFF7981D"/>
      <name val="Inconsolata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</font>
    <font>
      <u/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6FA8DC"/>
        <bgColor rgb="FF6FA8DC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C27BA0"/>
        <bgColor rgb="FFC27BA0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D966"/>
        <bgColor rgb="FFFFD966"/>
      </patternFill>
    </fill>
    <fill>
      <patternFill patternType="solid">
        <fgColor rgb="FFCFE2F3"/>
        <bgColor rgb="FFCFE2F3"/>
      </patternFill>
    </fill>
    <fill>
      <patternFill patternType="solid">
        <fgColor rgb="FFEFEFEF"/>
        <bgColor rgb="FFEFEFEF"/>
      </patternFill>
    </fill>
    <fill>
      <patternFill patternType="solid">
        <fgColor rgb="FF990000"/>
        <bgColor rgb="FF990000"/>
      </patternFill>
    </fill>
    <fill>
      <patternFill patternType="solid">
        <fgColor rgb="FFF3F3F3"/>
        <bgColor rgb="FFF3F3F3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38761D"/>
        <bgColor rgb="FF38761D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D9EAD3"/>
        <bgColor rgb="FFD9EAD3"/>
      </patternFill>
    </fill>
    <fill>
      <patternFill patternType="solid">
        <fgColor rgb="FFEA66A7"/>
        <bgColor rgb="FFEA66A7"/>
      </patternFill>
    </fill>
    <fill>
      <patternFill patternType="solid">
        <fgColor rgb="FFEACEE1"/>
        <bgColor rgb="FFEACEE1"/>
      </patternFill>
    </fill>
    <fill>
      <patternFill patternType="solid">
        <fgColor rgb="FF0099C6"/>
        <bgColor rgb="FF0099C6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D5A6BD"/>
        <bgColor rgb="FFD5A6BD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CC0000"/>
      </left>
      <right/>
      <top style="thin">
        <color rgb="FFCC0000"/>
      </top>
      <bottom style="thin">
        <color rgb="FFCC0000"/>
      </bottom>
      <diagonal/>
    </border>
    <border>
      <left/>
      <right/>
      <top style="thin">
        <color rgb="FFCC0000"/>
      </top>
      <bottom style="thin">
        <color rgb="FFCC0000"/>
      </bottom>
      <diagonal/>
    </border>
    <border>
      <left/>
      <right style="thin">
        <color rgb="FFCC0000"/>
      </right>
      <top style="thin">
        <color rgb="FFCC0000"/>
      </top>
      <bottom style="thin">
        <color rgb="FFCC0000"/>
      </bottom>
      <diagonal/>
    </border>
    <border>
      <left style="thin">
        <color rgb="FF6AA84F"/>
      </left>
      <right/>
      <top style="thin">
        <color rgb="FF6AA84F"/>
      </top>
      <bottom style="thin">
        <color rgb="FF6AA84F"/>
      </bottom>
      <diagonal/>
    </border>
    <border>
      <left/>
      <right/>
      <top style="thin">
        <color rgb="FF6AA84F"/>
      </top>
      <bottom style="thin">
        <color rgb="FF6AA84F"/>
      </bottom>
      <diagonal/>
    </border>
    <border>
      <left/>
      <right style="thin">
        <color rgb="FF6AA84F"/>
      </right>
      <top style="thin">
        <color rgb="FF6AA84F"/>
      </top>
      <bottom style="thin">
        <color rgb="FF6AA84F"/>
      </bottom>
      <diagonal/>
    </border>
    <border>
      <left style="thin">
        <color rgb="FFE69138"/>
      </left>
      <right/>
      <top style="thin">
        <color rgb="FFE69138"/>
      </top>
      <bottom style="thin">
        <color rgb="FFE69138"/>
      </bottom>
      <diagonal/>
    </border>
    <border>
      <left/>
      <right/>
      <top style="thin">
        <color rgb="FFE69138"/>
      </top>
      <bottom style="thin">
        <color rgb="FFE69138"/>
      </bottom>
      <diagonal/>
    </border>
    <border>
      <left/>
      <right style="thin">
        <color rgb="FFE69138"/>
      </right>
      <top style="thin">
        <color rgb="FFE69138"/>
      </top>
      <bottom style="thin">
        <color rgb="FFE69138"/>
      </bottom>
      <diagonal/>
    </border>
    <border>
      <left style="thin">
        <color rgb="FF3D85C6"/>
      </left>
      <right/>
      <top style="thin">
        <color rgb="FF3D85C6"/>
      </top>
      <bottom style="thin">
        <color rgb="FF3D85C6"/>
      </bottom>
      <diagonal/>
    </border>
    <border>
      <left/>
      <right/>
      <top style="thin">
        <color rgb="FF3D85C6"/>
      </top>
      <bottom style="thin">
        <color rgb="FF3D85C6"/>
      </bottom>
      <diagonal/>
    </border>
    <border>
      <left/>
      <right style="thin">
        <color rgb="FF3D85C6"/>
      </right>
      <top style="thin">
        <color rgb="FF3D85C6"/>
      </top>
      <bottom style="thin">
        <color rgb="FF3D85C6"/>
      </bottom>
      <diagonal/>
    </border>
    <border>
      <left/>
      <right/>
      <top style="thin">
        <color rgb="FFE06666"/>
      </top>
      <bottom style="thin">
        <color rgb="FFE06666"/>
      </bottom>
      <diagonal/>
    </border>
    <border>
      <left/>
      <right/>
      <top style="thin">
        <color rgb="FF434343"/>
      </top>
      <bottom/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/>
      <right/>
      <top/>
      <bottom style="thin">
        <color rgb="FF0099C6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D9D9D9"/>
      </bottom>
      <diagonal/>
    </border>
    <border>
      <left/>
      <right style="thin">
        <color rgb="FF000000"/>
      </right>
      <top/>
      <bottom style="thin">
        <color rgb="FFD9D9D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/>
      <right/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422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/>
    <xf numFmtId="0" fontId="4" fillId="2" borderId="0" xfId="0" applyFont="1" applyFill="1" applyAlignment="1"/>
    <xf numFmtId="164" fontId="2" fillId="0" borderId="0" xfId="0" applyNumberFormat="1" applyFont="1"/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4" xfId="0" applyFont="1" applyFill="1" applyBorder="1" applyAlignment="1"/>
    <xf numFmtId="0" fontId="7" fillId="4" borderId="4" xfId="0" applyFont="1" applyFill="1" applyBorder="1" applyAlignment="1">
      <alignment vertical="top"/>
    </xf>
    <xf numFmtId="164" fontId="7" fillId="4" borderId="4" xfId="0" applyNumberFormat="1" applyFont="1" applyFill="1" applyBorder="1" applyAlignment="1">
      <alignment vertical="top"/>
    </xf>
    <xf numFmtId="0" fontId="2" fillId="0" borderId="4" xfId="0" applyFont="1" applyBorder="1" applyAlignment="1"/>
    <xf numFmtId="0" fontId="2" fillId="0" borderId="0" xfId="0" applyFont="1" applyAlignment="1"/>
    <xf numFmtId="2" fontId="2" fillId="6" borderId="4" xfId="0" applyNumberFormat="1" applyFont="1" applyFill="1" applyBorder="1" applyAlignment="1"/>
    <xf numFmtId="164" fontId="2" fillId="0" borderId="4" xfId="0" applyNumberFormat="1" applyFont="1" applyBorder="1"/>
    <xf numFmtId="0" fontId="8" fillId="7" borderId="4" xfId="0" applyFont="1" applyFill="1" applyBorder="1" applyAlignment="1"/>
    <xf numFmtId="0" fontId="9" fillId="7" borderId="4" xfId="0" applyFont="1" applyFill="1" applyBorder="1" applyAlignment="1"/>
    <xf numFmtId="164" fontId="2" fillId="0" borderId="0" xfId="0" applyNumberFormat="1" applyFont="1" applyAlignment="1"/>
    <xf numFmtId="0" fontId="0" fillId="0" borderId="4" xfId="0" applyFont="1" applyBorder="1" applyAlignment="1"/>
    <xf numFmtId="164" fontId="0" fillId="0" borderId="4" xfId="0" applyNumberFormat="1" applyFont="1" applyBorder="1" applyAlignment="1"/>
    <xf numFmtId="164" fontId="10" fillId="6" borderId="4" xfId="0" applyNumberFormat="1" applyFont="1" applyFill="1" applyBorder="1" applyAlignment="1">
      <alignment horizontal="left"/>
    </xf>
    <xf numFmtId="164" fontId="2" fillId="0" borderId="4" xfId="0" applyNumberFormat="1" applyFont="1" applyBorder="1" applyAlignment="1"/>
    <xf numFmtId="165" fontId="2" fillId="0" borderId="4" xfId="0" applyNumberFormat="1" applyFont="1" applyBorder="1" applyAlignment="1"/>
    <xf numFmtId="166" fontId="2" fillId="0" borderId="4" xfId="0" applyNumberFormat="1" applyFont="1" applyBorder="1" applyAlignment="1"/>
    <xf numFmtId="0" fontId="2" fillId="0" borderId="4" xfId="0" applyFont="1" applyBorder="1" applyAlignment="1"/>
    <xf numFmtId="164" fontId="10" fillId="6" borderId="4" xfId="0" applyNumberFormat="1" applyFont="1" applyFill="1" applyBorder="1" applyAlignment="1"/>
    <xf numFmtId="0" fontId="11" fillId="2" borderId="0" xfId="0" applyFont="1" applyFill="1" applyAlignment="1"/>
    <xf numFmtId="0" fontId="12" fillId="2" borderId="0" xfId="0" applyFont="1" applyFill="1" applyAlignment="1"/>
    <xf numFmtId="0" fontId="13" fillId="0" borderId="0" xfId="0" applyFont="1" applyAlignment="1">
      <alignment vertical="center"/>
    </xf>
    <xf numFmtId="0" fontId="14" fillId="0" borderId="1" xfId="0" applyFont="1" applyBorder="1" applyAlignment="1"/>
    <xf numFmtId="0" fontId="15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2" fillId="0" borderId="0" xfId="0" applyFont="1" applyAlignment="1"/>
    <xf numFmtId="0" fontId="9" fillId="0" borderId="0" xfId="0" applyFont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8" fillId="10" borderId="4" xfId="0" applyFont="1" applyFill="1" applyBorder="1" applyAlignment="1"/>
    <xf numFmtId="164" fontId="2" fillId="11" borderId="4" xfId="0" applyNumberFormat="1" applyFont="1" applyFill="1" applyBorder="1"/>
    <xf numFmtId="0" fontId="2" fillId="11" borderId="4" xfId="0" applyFont="1" applyFill="1" applyBorder="1" applyAlignment="1">
      <alignment horizontal="center"/>
    </xf>
    <xf numFmtId="165" fontId="2" fillId="0" borderId="4" xfId="0" applyNumberFormat="1" applyFont="1" applyBorder="1"/>
    <xf numFmtId="166" fontId="2" fillId="0" borderId="4" xfId="0" applyNumberFormat="1" applyFont="1" applyBorder="1"/>
    <xf numFmtId="0" fontId="2" fillId="0" borderId="4" xfId="0" applyFont="1" applyBorder="1"/>
    <xf numFmtId="0" fontId="2" fillId="8" borderId="4" xfId="0" applyFont="1" applyFill="1" applyBorder="1" applyAlignment="1"/>
    <xf numFmtId="0" fontId="2" fillId="0" borderId="6" xfId="0" applyFont="1" applyBorder="1"/>
    <xf numFmtId="0" fontId="2" fillId="0" borderId="7" xfId="0" applyFont="1" applyBorder="1"/>
    <xf numFmtId="2" fontId="2" fillId="0" borderId="4" xfId="0" applyNumberFormat="1" applyFont="1" applyBorder="1"/>
    <xf numFmtId="0" fontId="7" fillId="4" borderId="3" xfId="0" applyFont="1" applyFill="1" applyBorder="1" applyAlignment="1">
      <alignment vertical="top"/>
    </xf>
    <xf numFmtId="0" fontId="7" fillId="4" borderId="3" xfId="0" applyFont="1" applyFill="1" applyBorder="1" applyAlignment="1">
      <alignment vertical="top"/>
    </xf>
    <xf numFmtId="2" fontId="2" fillId="12" borderId="4" xfId="0" applyNumberFormat="1" applyFont="1" applyFill="1" applyBorder="1" applyAlignment="1"/>
    <xf numFmtId="167" fontId="2" fillId="0" borderId="4" xfId="0" applyNumberFormat="1" applyFont="1" applyBorder="1"/>
    <xf numFmtId="164" fontId="19" fillId="12" borderId="4" xfId="0" applyNumberFormat="1" applyFont="1" applyFill="1" applyBorder="1" applyAlignment="1">
      <alignment horizontal="right"/>
    </xf>
    <xf numFmtId="0" fontId="20" fillId="3" borderId="0" xfId="0" applyFont="1" applyFill="1" applyAlignment="1"/>
    <xf numFmtId="164" fontId="2" fillId="3" borderId="0" xfId="0" applyNumberFormat="1" applyFont="1" applyFill="1"/>
    <xf numFmtId="0" fontId="2" fillId="3" borderId="0" xfId="0" applyFont="1" applyFill="1"/>
    <xf numFmtId="0" fontId="9" fillId="10" borderId="4" xfId="0" applyFont="1" applyFill="1" applyBorder="1" applyAlignment="1"/>
    <xf numFmtId="0" fontId="9" fillId="10" borderId="0" xfId="0" applyFont="1" applyFill="1" applyAlignment="1"/>
    <xf numFmtId="168" fontId="0" fillId="0" borderId="4" xfId="0" applyNumberFormat="1" applyFont="1" applyBorder="1" applyAlignment="1"/>
    <xf numFmtId="3" fontId="10" fillId="6" borderId="4" xfId="0" applyNumberFormat="1" applyFont="1" applyFill="1" applyBorder="1" applyAlignment="1">
      <alignment horizontal="right"/>
    </xf>
    <xf numFmtId="3" fontId="2" fillId="0" borderId="4" xfId="0" applyNumberFormat="1" applyFont="1" applyBorder="1"/>
    <xf numFmtId="168" fontId="10" fillId="6" borderId="4" xfId="0" applyNumberFormat="1" applyFont="1" applyFill="1" applyBorder="1" applyAlignment="1"/>
    <xf numFmtId="168" fontId="10" fillId="6" borderId="4" xfId="0" applyNumberFormat="1" applyFont="1" applyFill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11" fontId="2" fillId="0" borderId="4" xfId="0" applyNumberFormat="1" applyFont="1" applyBorder="1" applyAlignment="1"/>
    <xf numFmtId="3" fontId="10" fillId="6" borderId="4" xfId="0" applyNumberFormat="1" applyFont="1" applyFill="1" applyBorder="1" applyAlignment="1">
      <alignment horizontal="right"/>
    </xf>
    <xf numFmtId="0" fontId="0" fillId="0" borderId="0" xfId="0" applyFont="1" applyAlignment="1"/>
    <xf numFmtId="164" fontId="10" fillId="6" borderId="0" xfId="0" applyNumberFormat="1" applyFont="1" applyFill="1" applyAlignment="1">
      <alignment horizontal="left"/>
    </xf>
    <xf numFmtId="164" fontId="10" fillId="6" borderId="0" xfId="0" applyNumberFormat="1" applyFont="1" applyFill="1" applyAlignment="1">
      <alignment horizontal="right"/>
    </xf>
    <xf numFmtId="164" fontId="0" fillId="0" borderId="0" xfId="0" applyNumberFormat="1" applyFont="1" applyAlignment="1"/>
    <xf numFmtId="165" fontId="2" fillId="0" borderId="0" xfId="0" applyNumberFormat="1" applyFont="1" applyAlignment="1"/>
    <xf numFmtId="166" fontId="2" fillId="0" borderId="0" xfId="0" applyNumberFormat="1" applyFont="1" applyAlignment="1"/>
    <xf numFmtId="0" fontId="2" fillId="3" borderId="0" xfId="0" applyFont="1" applyFill="1" applyAlignment="1"/>
    <xf numFmtId="169" fontId="2" fillId="0" borderId="4" xfId="0" applyNumberFormat="1" applyFont="1" applyBorder="1"/>
    <xf numFmtId="164" fontId="2" fillId="6" borderId="4" xfId="0" applyNumberFormat="1" applyFont="1" applyFill="1" applyBorder="1"/>
    <xf numFmtId="0" fontId="2" fillId="13" borderId="0" xfId="0" applyFont="1" applyFill="1"/>
    <xf numFmtId="2" fontId="2" fillId="13" borderId="0" xfId="0" applyNumberFormat="1" applyFont="1" applyFill="1"/>
    <xf numFmtId="166" fontId="2" fillId="13" borderId="0" xfId="0" applyNumberFormat="1" applyFont="1" applyFill="1"/>
    <xf numFmtId="0" fontId="4" fillId="13" borderId="0" xfId="0" applyFont="1" applyFill="1" applyAlignment="1"/>
    <xf numFmtId="0" fontId="2" fillId="14" borderId="0" xfId="0" applyFont="1" applyFill="1"/>
    <xf numFmtId="0" fontId="21" fillId="0" borderId="8" xfId="0" applyFont="1" applyBorder="1"/>
    <xf numFmtId="164" fontId="19" fillId="12" borderId="7" xfId="0" applyNumberFormat="1" applyFont="1" applyFill="1" applyBorder="1" applyAlignment="1">
      <alignment horizontal="right"/>
    </xf>
    <xf numFmtId="0" fontId="5" fillId="0" borderId="9" xfId="0" applyFont="1" applyBorder="1" applyAlignment="1"/>
    <xf numFmtId="0" fontId="21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1" fillId="0" borderId="11" xfId="0" applyFont="1" applyBorder="1"/>
    <xf numFmtId="0" fontId="21" fillId="0" borderId="0" xfId="0" applyFont="1" applyAlignment="1"/>
    <xf numFmtId="0" fontId="21" fillId="0" borderId="0" xfId="0" applyFont="1"/>
    <xf numFmtId="170" fontId="2" fillId="0" borderId="4" xfId="0" applyNumberFormat="1" applyFont="1" applyBorder="1"/>
    <xf numFmtId="164" fontId="2" fillId="6" borderId="4" xfId="0" applyNumberFormat="1" applyFont="1" applyFill="1" applyBorder="1" applyAlignment="1"/>
    <xf numFmtId="0" fontId="2" fillId="0" borderId="12" xfId="0" applyFont="1" applyBorder="1"/>
    <xf numFmtId="0" fontId="22" fillId="15" borderId="13" xfId="0" applyFont="1" applyFill="1" applyBorder="1" applyAlignment="1"/>
    <xf numFmtId="0" fontId="22" fillId="15" borderId="13" xfId="0" applyFont="1" applyFill="1" applyBorder="1" applyAlignment="1"/>
    <xf numFmtId="2" fontId="23" fillId="0" borderId="0" xfId="0" applyNumberFormat="1" applyFont="1" applyAlignment="1"/>
    <xf numFmtId="0" fontId="2" fillId="0" borderId="12" xfId="0" applyFont="1" applyBorder="1" applyAlignment="1"/>
    <xf numFmtId="164" fontId="21" fillId="15" borderId="13" xfId="0" applyNumberFormat="1" applyFont="1" applyFill="1" applyBorder="1" applyAlignment="1"/>
    <xf numFmtId="168" fontId="21" fillId="8" borderId="13" xfId="0" applyNumberFormat="1" applyFont="1" applyFill="1" applyBorder="1" applyAlignment="1"/>
    <xf numFmtId="0" fontId="21" fillId="8" borderId="14" xfId="0" applyFont="1" applyFill="1" applyBorder="1"/>
    <xf numFmtId="0" fontId="23" fillId="0" borderId="0" xfId="0" applyFont="1" applyAlignment="1"/>
    <xf numFmtId="2" fontId="2" fillId="8" borderId="4" xfId="0" applyNumberFormat="1" applyFont="1" applyFill="1" applyBorder="1" applyAlignment="1"/>
    <xf numFmtId="2" fontId="10" fillId="16" borderId="13" xfId="0" applyNumberFormat="1" applyFont="1" applyFill="1" applyBorder="1"/>
    <xf numFmtId="2" fontId="23" fillId="0" borderId="0" xfId="0" applyNumberFormat="1" applyFont="1" applyAlignment="1">
      <alignment horizontal="left"/>
    </xf>
    <xf numFmtId="0" fontId="21" fillId="8" borderId="15" xfId="0" applyFont="1" applyFill="1" applyBorder="1"/>
    <xf numFmtId="0" fontId="7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2" fontId="2" fillId="0" borderId="0" xfId="0" applyNumberFormat="1" applyFont="1" applyAlignment="1"/>
    <xf numFmtId="168" fontId="21" fillId="15" borderId="13" xfId="0" applyNumberFormat="1" applyFont="1" applyFill="1" applyBorder="1" applyAlignment="1"/>
    <xf numFmtId="168" fontId="10" fillId="8" borderId="4" xfId="0" applyNumberFormat="1" applyFont="1" applyFill="1" applyBorder="1" applyAlignment="1">
      <alignment horizontal="right"/>
    </xf>
    <xf numFmtId="0" fontId="24" fillId="0" borderId="0" xfId="0" applyFont="1" applyAlignment="1"/>
    <xf numFmtId="4" fontId="10" fillId="8" borderId="4" xfId="0" applyNumberFormat="1" applyFont="1" applyFill="1" applyBorder="1" applyAlignment="1">
      <alignment horizontal="right"/>
    </xf>
    <xf numFmtId="0" fontId="21" fillId="0" borderId="0" xfId="0" applyFont="1" applyAlignment="1"/>
    <xf numFmtId="0" fontId="21" fillId="0" borderId="0" xfId="0" applyFont="1" applyAlignment="1"/>
    <xf numFmtId="0" fontId="22" fillId="15" borderId="13" xfId="0" applyFont="1" applyFill="1" applyBorder="1" applyAlignment="1"/>
    <xf numFmtId="168" fontId="21" fillId="16" borderId="13" xfId="0" applyNumberFormat="1" applyFont="1" applyFill="1" applyBorder="1" applyAlignment="1"/>
    <xf numFmtId="0" fontId="21" fillId="16" borderId="13" xfId="0" applyFont="1" applyFill="1" applyBorder="1" applyAlignment="1"/>
    <xf numFmtId="3" fontId="10" fillId="8" borderId="4" xfId="0" applyNumberFormat="1" applyFont="1" applyFill="1" applyBorder="1" applyAlignment="1">
      <alignment horizontal="right"/>
    </xf>
    <xf numFmtId="164" fontId="0" fillId="8" borderId="4" xfId="0" applyNumberFormat="1" applyFont="1" applyFill="1" applyBorder="1" applyAlignment="1"/>
    <xf numFmtId="164" fontId="2" fillId="8" borderId="4" xfId="0" applyNumberFormat="1" applyFont="1" applyFill="1" applyBorder="1" applyAlignment="1"/>
    <xf numFmtId="165" fontId="2" fillId="8" borderId="4" xfId="0" applyNumberFormat="1" applyFont="1" applyFill="1" applyBorder="1" applyAlignment="1"/>
    <xf numFmtId="11" fontId="2" fillId="8" borderId="4" xfId="0" applyNumberFormat="1" applyFont="1" applyFill="1" applyBorder="1" applyAlignment="1"/>
    <xf numFmtId="0" fontId="22" fillId="15" borderId="13" xfId="0" applyFont="1" applyFill="1" applyBorder="1" applyAlignment="1"/>
    <xf numFmtId="0" fontId="21" fillId="16" borderId="13" xfId="0" applyFont="1" applyFill="1" applyBorder="1" applyAlignment="1"/>
    <xf numFmtId="3" fontId="2" fillId="8" borderId="4" xfId="0" applyNumberFormat="1" applyFont="1" applyFill="1" applyBorder="1" applyAlignment="1"/>
    <xf numFmtId="166" fontId="2" fillId="8" borderId="4" xfId="0" applyNumberFormat="1" applyFont="1" applyFill="1" applyBorder="1" applyAlignment="1"/>
    <xf numFmtId="0" fontId="19" fillId="0" borderId="11" xfId="0" applyFont="1" applyBorder="1" applyAlignment="1"/>
    <xf numFmtId="0" fontId="19" fillId="0" borderId="0" xfId="0" applyFont="1" applyAlignment="1"/>
    <xf numFmtId="0" fontId="19" fillId="0" borderId="12" xfId="0" applyFont="1" applyBorder="1" applyAlignment="1"/>
    <xf numFmtId="0" fontId="19" fillId="0" borderId="16" xfId="0" applyFont="1" applyBorder="1" applyAlignment="1"/>
    <xf numFmtId="0" fontId="19" fillId="0" borderId="17" xfId="0" applyFont="1" applyBorder="1" applyAlignment="1"/>
    <xf numFmtId="0" fontId="19" fillId="0" borderId="18" xfId="0" applyFont="1" applyBorder="1" applyAlignment="1"/>
    <xf numFmtId="0" fontId="2" fillId="17" borderId="0" xfId="0" applyFont="1" applyFill="1" applyAlignment="1"/>
    <xf numFmtId="0" fontId="2" fillId="17" borderId="0" xfId="0" applyFont="1" applyFill="1"/>
    <xf numFmtId="0" fontId="4" fillId="17" borderId="0" xfId="0" applyFont="1" applyFill="1" applyAlignment="1"/>
    <xf numFmtId="0" fontId="25" fillId="8" borderId="4" xfId="0" applyFont="1" applyFill="1" applyBorder="1"/>
    <xf numFmtId="10" fontId="2" fillId="0" borderId="0" xfId="0" applyNumberFormat="1" applyFont="1"/>
    <xf numFmtId="0" fontId="7" fillId="18" borderId="4" xfId="0" applyFont="1" applyFill="1" applyBorder="1" applyAlignment="1">
      <alignment vertical="top"/>
    </xf>
    <xf numFmtId="0" fontId="26" fillId="6" borderId="0" xfId="0" applyFont="1" applyFill="1" applyAlignment="1"/>
    <xf numFmtId="0" fontId="7" fillId="18" borderId="3" xfId="0" applyFont="1" applyFill="1" applyBorder="1" applyAlignment="1">
      <alignment vertical="top"/>
    </xf>
    <xf numFmtId="0" fontId="7" fillId="18" borderId="4" xfId="0" applyFont="1" applyFill="1" applyBorder="1" applyAlignment="1">
      <alignment vertical="top"/>
    </xf>
    <xf numFmtId="0" fontId="27" fillId="0" borderId="0" xfId="0" applyFont="1" applyAlignment="1">
      <alignment horizontal="center"/>
    </xf>
    <xf numFmtId="0" fontId="21" fillId="12" borderId="8" xfId="0" applyFont="1" applyFill="1" applyBorder="1"/>
    <xf numFmtId="0" fontId="21" fillId="12" borderId="9" xfId="0" applyFont="1" applyFill="1" applyBorder="1"/>
    <xf numFmtId="0" fontId="2" fillId="12" borderId="10" xfId="0" applyFont="1" applyFill="1" applyBorder="1"/>
    <xf numFmtId="2" fontId="25" fillId="12" borderId="4" xfId="0" applyNumberFormat="1" applyFont="1" applyFill="1" applyBorder="1" applyAlignment="1"/>
    <xf numFmtId="0" fontId="21" fillId="12" borderId="11" xfId="0" applyFont="1" applyFill="1" applyBorder="1"/>
    <xf numFmtId="0" fontId="5" fillId="12" borderId="0" xfId="0" applyFont="1" applyFill="1" applyAlignment="1"/>
    <xf numFmtId="0" fontId="21" fillId="12" borderId="0" xfId="0" applyFont="1" applyFill="1"/>
    <xf numFmtId="0" fontId="2" fillId="12" borderId="12" xfId="0" applyFont="1" applyFill="1" applyBorder="1"/>
    <xf numFmtId="0" fontId="28" fillId="0" borderId="0" xfId="0" applyFont="1" applyAlignment="1"/>
    <xf numFmtId="0" fontId="22" fillId="4" borderId="13" xfId="0" applyFont="1" applyFill="1" applyBorder="1"/>
    <xf numFmtId="0" fontId="2" fillId="18" borderId="4" xfId="0" applyFont="1" applyFill="1" applyBorder="1" applyAlignment="1"/>
    <xf numFmtId="2" fontId="10" fillId="0" borderId="13" xfId="0" applyNumberFormat="1" applyFont="1" applyBorder="1"/>
    <xf numFmtId="0" fontId="29" fillId="15" borderId="19" xfId="0" applyFont="1" applyFill="1" applyBorder="1" applyAlignment="1">
      <alignment horizontal="center"/>
    </xf>
    <xf numFmtId="0" fontId="18" fillId="12" borderId="20" xfId="0" applyFont="1" applyFill="1" applyBorder="1" applyAlignment="1"/>
    <xf numFmtId="0" fontId="18" fillId="12" borderId="21" xfId="0" applyFont="1" applyFill="1" applyBorder="1" applyAlignment="1"/>
    <xf numFmtId="0" fontId="18" fillId="0" borderId="0" xfId="0" applyFont="1"/>
    <xf numFmtId="0" fontId="29" fillId="0" borderId="0" xfId="0" applyFont="1" applyAlignment="1">
      <alignment horizontal="center"/>
    </xf>
    <xf numFmtId="0" fontId="29" fillId="18" borderId="22" xfId="0" applyFont="1" applyFill="1" applyBorder="1" applyAlignment="1">
      <alignment horizontal="center"/>
    </xf>
    <xf numFmtId="0" fontId="18" fillId="12" borderId="23" xfId="0" applyFont="1" applyFill="1" applyBorder="1" applyAlignment="1"/>
    <xf numFmtId="0" fontId="18" fillId="12" borderId="24" xfId="0" applyFont="1" applyFill="1" applyBorder="1" applyAlignment="1"/>
    <xf numFmtId="2" fontId="2" fillId="0" borderId="4" xfId="0" applyNumberFormat="1" applyFont="1" applyBorder="1" applyAlignment="1"/>
    <xf numFmtId="0" fontId="29" fillId="19" borderId="25" xfId="0" applyFont="1" applyFill="1" applyBorder="1" applyAlignment="1">
      <alignment horizontal="center"/>
    </xf>
    <xf numFmtId="0" fontId="18" fillId="12" borderId="26" xfId="0" applyFont="1" applyFill="1" applyBorder="1" applyAlignment="1"/>
    <xf numFmtId="0" fontId="18" fillId="12" borderId="27" xfId="0" applyFont="1" applyFill="1" applyBorder="1" applyAlignment="1"/>
    <xf numFmtId="0" fontId="29" fillId="0" borderId="0" xfId="0" applyFont="1" applyAlignment="1">
      <alignment horizontal="center"/>
    </xf>
    <xf numFmtId="170" fontId="2" fillId="0" borderId="4" xfId="0" applyNumberFormat="1" applyFont="1" applyBorder="1" applyAlignment="1"/>
    <xf numFmtId="0" fontId="29" fillId="4" borderId="28" xfId="0" applyFont="1" applyFill="1" applyBorder="1" applyAlignment="1">
      <alignment horizontal="center"/>
    </xf>
    <xf numFmtId="0" fontId="18" fillId="12" borderId="29" xfId="0" applyFont="1" applyFill="1" applyBorder="1" applyAlignment="1"/>
    <xf numFmtId="0" fontId="18" fillId="12" borderId="30" xfId="0" applyFont="1" applyFill="1" applyBorder="1" applyAlignment="1"/>
    <xf numFmtId="171" fontId="2" fillId="0" borderId="4" xfId="0" applyNumberFormat="1" applyFont="1" applyBorder="1"/>
    <xf numFmtId="0" fontId="30" fillId="0" borderId="0" xfId="0" applyFont="1" applyAlignment="1"/>
    <xf numFmtId="0" fontId="31" fillId="12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29" fillId="0" borderId="20" xfId="0" applyFont="1" applyBorder="1" applyAlignment="1">
      <alignment horizontal="center"/>
    </xf>
    <xf numFmtId="0" fontId="2" fillId="0" borderId="31" xfId="0" applyFont="1" applyBorder="1" applyAlignment="1"/>
    <xf numFmtId="0" fontId="2" fillId="0" borderId="32" xfId="0" applyFont="1" applyBorder="1"/>
    <xf numFmtId="0" fontId="5" fillId="0" borderId="32" xfId="0" applyFont="1" applyBorder="1" applyAlignment="1"/>
    <xf numFmtId="0" fontId="21" fillId="0" borderId="32" xfId="0" applyFont="1" applyBorder="1"/>
    <xf numFmtId="0" fontId="25" fillId="0" borderId="32" xfId="0" applyFont="1" applyBorder="1"/>
    <xf numFmtId="0" fontId="21" fillId="12" borderId="0" xfId="0" applyFont="1" applyFill="1" applyAlignment="1"/>
    <xf numFmtId="0" fontId="25" fillId="0" borderId="0" xfId="0" applyFont="1"/>
    <xf numFmtId="0" fontId="22" fillId="0" borderId="0" xfId="0" applyFont="1" applyAlignment="1"/>
    <xf numFmtId="164" fontId="21" fillId="4" borderId="13" xfId="0" applyNumberFormat="1" applyFont="1" applyFill="1" applyBorder="1" applyAlignment="1"/>
    <xf numFmtId="168" fontId="10" fillId="0" borderId="13" xfId="0" applyNumberFormat="1" applyFont="1" applyBorder="1"/>
    <xf numFmtId="0" fontId="10" fillId="15" borderId="0" xfId="0" applyFont="1" applyFill="1" applyAlignment="1"/>
    <xf numFmtId="166" fontId="10" fillId="16" borderId="0" xfId="0" applyNumberFormat="1" applyFont="1" applyFill="1"/>
    <xf numFmtId="0" fontId="33" fillId="0" borderId="0" xfId="0" applyFont="1" applyAlignment="1"/>
    <xf numFmtId="0" fontId="33" fillId="0" borderId="0" xfId="0" applyFont="1" applyAlignment="1">
      <alignment horizontal="right"/>
    </xf>
    <xf numFmtId="2" fontId="10" fillId="16" borderId="0" xfId="0" applyNumberFormat="1" applyFont="1" applyFill="1"/>
    <xf numFmtId="0" fontId="10" fillId="15" borderId="0" xfId="0" applyFont="1" applyFill="1" applyAlignment="1"/>
    <xf numFmtId="0" fontId="2" fillId="12" borderId="0" xfId="0" applyFont="1" applyFill="1"/>
    <xf numFmtId="0" fontId="22" fillId="4" borderId="13" xfId="0" applyFont="1" applyFill="1" applyBorder="1" applyAlignment="1"/>
    <xf numFmtId="0" fontId="18" fillId="0" borderId="0" xfId="0" applyFont="1" applyAlignment="1">
      <alignment horizontal="center"/>
    </xf>
    <xf numFmtId="0" fontId="21" fillId="0" borderId="13" xfId="0" applyFont="1" applyBorder="1" applyAlignment="1">
      <alignment horizontal="right"/>
    </xf>
    <xf numFmtId="0" fontId="21" fillId="12" borderId="0" xfId="0" applyFont="1" applyFill="1" applyAlignment="1"/>
    <xf numFmtId="0" fontId="18" fillId="0" borderId="0" xfId="0" applyFont="1" applyAlignment="1">
      <alignment horizontal="right"/>
    </xf>
    <xf numFmtId="0" fontId="30" fillId="0" borderId="0" xfId="0" applyFont="1"/>
    <xf numFmtId="0" fontId="21" fillId="12" borderId="0" xfId="0" applyFont="1" applyFill="1" applyAlignment="1"/>
    <xf numFmtId="166" fontId="22" fillId="4" borderId="13" xfId="0" applyNumberFormat="1" applyFont="1" applyFill="1" applyBorder="1" applyAlignment="1">
      <alignment horizontal="right"/>
    </xf>
    <xf numFmtId="164" fontId="21" fillId="0" borderId="13" xfId="0" applyNumberFormat="1" applyFont="1" applyBorder="1" applyAlignment="1"/>
    <xf numFmtId="0" fontId="21" fillId="0" borderId="13" xfId="0" applyFont="1" applyBorder="1" applyAlignment="1"/>
    <xf numFmtId="3" fontId="10" fillId="0" borderId="13" xfId="0" applyNumberFormat="1" applyFont="1" applyBorder="1" applyAlignment="1">
      <alignment horizontal="right"/>
    </xf>
    <xf numFmtId="164" fontId="10" fillId="0" borderId="15" xfId="0" applyNumberFormat="1" applyFont="1" applyBorder="1" applyAlignment="1">
      <alignment horizontal="right"/>
    </xf>
    <xf numFmtId="165" fontId="10" fillId="0" borderId="15" xfId="0" applyNumberFormat="1" applyFont="1" applyBorder="1" applyAlignment="1">
      <alignment horizontal="right"/>
    </xf>
    <xf numFmtId="166" fontId="10" fillId="0" borderId="13" xfId="0" applyNumberFormat="1" applyFont="1" applyBorder="1" applyAlignment="1">
      <alignment horizontal="right"/>
    </xf>
    <xf numFmtId="0" fontId="10" fillId="0" borderId="0" xfId="0" applyFont="1"/>
    <xf numFmtId="0" fontId="35" fillId="0" borderId="0" xfId="0" applyFont="1"/>
    <xf numFmtId="11" fontId="10" fillId="0" borderId="15" xfId="0" applyNumberFormat="1" applyFont="1" applyBorder="1" applyAlignment="1">
      <alignment horizontal="right"/>
    </xf>
    <xf numFmtId="166" fontId="10" fillId="0" borderId="13" xfId="0" applyNumberFormat="1" applyFont="1" applyBorder="1" applyAlignment="1">
      <alignment horizontal="right"/>
    </xf>
    <xf numFmtId="0" fontId="10" fillId="4" borderId="0" xfId="0" applyFont="1" applyFill="1" applyAlignment="1"/>
    <xf numFmtId="166" fontId="10" fillId="11" borderId="0" xfId="0" applyNumberFormat="1" applyFont="1" applyFill="1"/>
    <xf numFmtId="0" fontId="36" fillId="0" borderId="0" xfId="0" applyFont="1" applyAlignment="1"/>
    <xf numFmtId="0" fontId="37" fillId="0" borderId="0" xfId="0" applyFont="1" applyAlignment="1">
      <alignment horizontal="right"/>
    </xf>
    <xf numFmtId="0" fontId="10" fillId="4" borderId="0" xfId="0" applyFont="1" applyFill="1" applyAlignment="1"/>
    <xf numFmtId="2" fontId="10" fillId="11" borderId="0" xfId="0" applyNumberFormat="1" applyFont="1" applyFill="1"/>
    <xf numFmtId="0" fontId="22" fillId="4" borderId="13" xfId="0" applyFont="1" applyFill="1" applyBorder="1" applyAlignment="1"/>
    <xf numFmtId="0" fontId="21" fillId="0" borderId="13" xfId="0" applyFont="1" applyBorder="1" applyAlignment="1"/>
    <xf numFmtId="168" fontId="10" fillId="0" borderId="15" xfId="0" applyNumberFormat="1" applyFont="1" applyBorder="1" applyAlignment="1">
      <alignment horizontal="right"/>
    </xf>
    <xf numFmtId="168" fontId="10" fillId="0" borderId="13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166" fontId="10" fillId="0" borderId="15" xfId="0" applyNumberFormat="1" applyFont="1" applyBorder="1" applyAlignment="1">
      <alignment horizontal="right"/>
    </xf>
    <xf numFmtId="0" fontId="22" fillId="10" borderId="13" xfId="0" applyFont="1" applyFill="1" applyBorder="1" applyAlignment="1"/>
    <xf numFmtId="0" fontId="10" fillId="18" borderId="0" xfId="0" applyFont="1" applyFill="1" applyAlignment="1"/>
    <xf numFmtId="166" fontId="10" fillId="20" borderId="0" xfId="0" applyNumberFormat="1" applyFont="1" applyFill="1"/>
    <xf numFmtId="0" fontId="38" fillId="0" borderId="0" xfId="0" applyFont="1" applyAlignment="1"/>
    <xf numFmtId="0" fontId="19" fillId="12" borderId="11" xfId="0" applyFont="1" applyFill="1" applyBorder="1" applyAlignment="1"/>
    <xf numFmtId="0" fontId="19" fillId="12" borderId="0" xfId="0" applyFont="1" applyFill="1" applyAlignment="1"/>
    <xf numFmtId="0" fontId="19" fillId="12" borderId="12" xfId="0" applyFont="1" applyFill="1" applyBorder="1" applyAlignment="1"/>
    <xf numFmtId="0" fontId="38" fillId="0" borderId="0" xfId="0" applyFont="1" applyAlignment="1">
      <alignment horizontal="right"/>
    </xf>
    <xf numFmtId="0" fontId="10" fillId="18" borderId="0" xfId="0" applyFont="1" applyFill="1" applyAlignment="1"/>
    <xf numFmtId="2" fontId="10" fillId="20" borderId="0" xfId="0" applyNumberFormat="1" applyFont="1" applyFill="1"/>
    <xf numFmtId="166" fontId="2" fillId="8" borderId="4" xfId="0" applyNumberFormat="1" applyFont="1" applyFill="1" applyBorder="1"/>
    <xf numFmtId="0" fontId="22" fillId="8" borderId="13" xfId="0" applyFont="1" applyFill="1" applyBorder="1" applyAlignment="1"/>
    <xf numFmtId="0" fontId="2" fillId="12" borderId="4" xfId="0" applyFont="1" applyFill="1" applyBorder="1"/>
    <xf numFmtId="0" fontId="2" fillId="8" borderId="4" xfId="0" applyFont="1" applyFill="1" applyBorder="1"/>
    <xf numFmtId="168" fontId="10" fillId="0" borderId="13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0" fontId="19" fillId="0" borderId="0" xfId="0" applyFont="1"/>
    <xf numFmtId="0" fontId="19" fillId="12" borderId="16" xfId="0" applyFont="1" applyFill="1" applyBorder="1" applyAlignment="1"/>
    <xf numFmtId="0" fontId="19" fillId="12" borderId="17" xfId="0" applyFont="1" applyFill="1" applyBorder="1" applyAlignment="1"/>
    <xf numFmtId="0" fontId="19" fillId="12" borderId="18" xfId="0" applyFont="1" applyFill="1" applyBorder="1" applyAlignment="1"/>
    <xf numFmtId="0" fontId="10" fillId="10" borderId="0" xfId="0" applyFont="1" applyFill="1" applyAlignment="1"/>
    <xf numFmtId="166" fontId="10" fillId="9" borderId="0" xfId="0" applyNumberFormat="1" applyFont="1" applyFill="1"/>
    <xf numFmtId="0" fontId="39" fillId="0" borderId="0" xfId="0" applyFont="1" applyAlignment="1"/>
    <xf numFmtId="2" fontId="10" fillId="9" borderId="0" xfId="0" applyNumberFormat="1" applyFont="1" applyFill="1"/>
    <xf numFmtId="10" fontId="2" fillId="0" borderId="4" xfId="0" applyNumberFormat="1" applyFont="1" applyBorder="1"/>
    <xf numFmtId="2" fontId="19" fillId="0" borderId="0" xfId="0" applyNumberFormat="1" applyFont="1"/>
    <xf numFmtId="0" fontId="40" fillId="0" borderId="0" xfId="0" applyFont="1" applyAlignment="1"/>
    <xf numFmtId="0" fontId="25" fillId="0" borderId="0" xfId="0" applyFont="1" applyAlignment="1"/>
    <xf numFmtId="2" fontId="10" fillId="0" borderId="0" xfId="0" applyNumberFormat="1" applyFont="1"/>
    <xf numFmtId="166" fontId="19" fillId="0" borderId="0" xfId="0" applyNumberFormat="1" applyFont="1"/>
    <xf numFmtId="0" fontId="18" fillId="0" borderId="32" xfId="0" applyFont="1" applyBorder="1"/>
    <xf numFmtId="0" fontId="34" fillId="0" borderId="0" xfId="0" applyFont="1" applyAlignment="1"/>
    <xf numFmtId="0" fontId="18" fillId="21" borderId="0" xfId="0" applyFont="1" applyFill="1" applyAlignment="1"/>
    <xf numFmtId="2" fontId="19" fillId="22" borderId="0" xfId="0" applyNumberFormat="1" applyFont="1" applyFill="1"/>
    <xf numFmtId="172" fontId="19" fillId="22" borderId="0" xfId="0" applyNumberFormat="1" applyFont="1" applyFill="1"/>
    <xf numFmtId="0" fontId="18" fillId="21" borderId="33" xfId="0" applyFont="1" applyFill="1" applyBorder="1" applyAlignment="1">
      <alignment horizontal="center"/>
    </xf>
    <xf numFmtId="0" fontId="19" fillId="12" borderId="4" xfId="0" applyFont="1" applyFill="1" applyBorder="1" applyAlignment="1"/>
    <xf numFmtId="0" fontId="42" fillId="6" borderId="0" xfId="0" applyFont="1" applyFill="1"/>
    <xf numFmtId="0" fontId="18" fillId="21" borderId="4" xfId="0" applyFont="1" applyFill="1" applyBorder="1" applyAlignment="1"/>
    <xf numFmtId="2" fontId="29" fillId="0" borderId="0" xfId="0" applyNumberFormat="1" applyFont="1"/>
    <xf numFmtId="0" fontId="18" fillId="0" borderId="34" xfId="0" applyFont="1" applyBorder="1"/>
    <xf numFmtId="0" fontId="19" fillId="0" borderId="34" xfId="0" applyFont="1" applyBorder="1" applyAlignment="1">
      <alignment horizontal="center"/>
    </xf>
    <xf numFmtId="0" fontId="29" fillId="0" borderId="0" xfId="0" applyFont="1"/>
    <xf numFmtId="0" fontId="18" fillId="23" borderId="0" xfId="0" applyFont="1" applyFill="1" applyAlignment="1"/>
    <xf numFmtId="1" fontId="43" fillId="11" borderId="0" xfId="0" applyNumberFormat="1" applyFont="1" applyFill="1" applyAlignment="1">
      <alignment horizontal="center"/>
    </xf>
    <xf numFmtId="1" fontId="19" fillId="11" borderId="0" xfId="0" applyNumberFormat="1" applyFont="1" applyFill="1" applyAlignment="1">
      <alignment horizontal="center"/>
    </xf>
    <xf numFmtId="0" fontId="2" fillId="0" borderId="35" xfId="0" applyFont="1" applyBorder="1" applyAlignment="1"/>
    <xf numFmtId="0" fontId="2" fillId="0" borderId="35" xfId="0" applyFont="1" applyBorder="1"/>
    <xf numFmtId="0" fontId="44" fillId="0" borderId="0" xfId="0" applyFont="1" applyAlignment="1"/>
    <xf numFmtId="0" fontId="29" fillId="15" borderId="0" xfId="0" applyFont="1" applyFill="1" applyAlignment="1">
      <alignment horizontal="center"/>
    </xf>
    <xf numFmtId="2" fontId="19" fillId="16" borderId="0" xfId="0" applyNumberFormat="1" applyFont="1" applyFill="1"/>
    <xf numFmtId="0" fontId="18" fillId="16" borderId="0" xfId="0" applyFont="1" applyFill="1" applyAlignment="1"/>
    <xf numFmtId="0" fontId="29" fillId="19" borderId="0" xfId="0" applyFont="1" applyFill="1" applyAlignment="1">
      <alignment horizontal="center"/>
    </xf>
    <xf numFmtId="2" fontId="19" fillId="24" borderId="0" xfId="0" applyNumberFormat="1" applyFont="1" applyFill="1" applyAlignment="1"/>
    <xf numFmtId="0" fontId="18" fillId="24" borderId="0" xfId="0" applyFont="1" applyFill="1" applyAlignment="1"/>
    <xf numFmtId="0" fontId="29" fillId="0" borderId="0" xfId="0" applyFont="1" applyAlignment="1"/>
    <xf numFmtId="0" fontId="45" fillId="25" borderId="0" xfId="0" applyFont="1" applyFill="1" applyAlignment="1">
      <alignment horizontal="center"/>
    </xf>
    <xf numFmtId="0" fontId="29" fillId="18" borderId="0" xfId="0" applyFont="1" applyFill="1" applyAlignment="1"/>
    <xf numFmtId="2" fontId="19" fillId="20" borderId="0" xfId="0" applyNumberFormat="1" applyFont="1" applyFill="1"/>
    <xf numFmtId="0" fontId="18" fillId="20" borderId="0" xfId="0" applyFont="1" applyFill="1" applyAlignment="1"/>
    <xf numFmtId="0" fontId="29" fillId="0" borderId="0" xfId="0" applyFont="1" applyAlignment="1">
      <alignment horizontal="left"/>
    </xf>
    <xf numFmtId="0" fontId="19" fillId="12" borderId="0" xfId="0" applyFont="1" applyFill="1" applyAlignment="1">
      <alignment horizontal="center"/>
    </xf>
    <xf numFmtId="2" fontId="19" fillId="12" borderId="36" xfId="0" applyNumberFormat="1" applyFont="1" applyFill="1" applyBorder="1"/>
    <xf numFmtId="2" fontId="19" fillId="12" borderId="0" xfId="0" applyNumberFormat="1" applyFont="1" applyFill="1" applyAlignment="1">
      <alignment horizontal="center"/>
    </xf>
    <xf numFmtId="2" fontId="19" fillId="12" borderId="0" xfId="0" applyNumberFormat="1" applyFont="1" applyFill="1" applyAlignment="1">
      <alignment horizontal="center"/>
    </xf>
    <xf numFmtId="0" fontId="29" fillId="4" borderId="0" xfId="0" applyFont="1" applyFill="1" applyAlignment="1"/>
    <xf numFmtId="2" fontId="19" fillId="11" borderId="0" xfId="0" applyNumberFormat="1" applyFont="1" applyFill="1"/>
    <xf numFmtId="0" fontId="18" fillId="11" borderId="0" xfId="0" applyFont="1" applyFill="1" applyAlignment="1"/>
    <xf numFmtId="0" fontId="19" fillId="12" borderId="0" xfId="0" applyFont="1" applyFill="1" applyAlignment="1">
      <alignment horizontal="center"/>
    </xf>
    <xf numFmtId="0" fontId="19" fillId="12" borderId="36" xfId="0" applyFont="1" applyFill="1" applyBorder="1" applyAlignment="1"/>
    <xf numFmtId="0" fontId="9" fillId="0" borderId="0" xfId="0" applyFont="1"/>
    <xf numFmtId="0" fontId="29" fillId="10" borderId="0" xfId="0" applyFont="1" applyFill="1" applyAlignment="1"/>
    <xf numFmtId="0" fontId="19" fillId="9" borderId="0" xfId="0" applyFont="1" applyFill="1"/>
    <xf numFmtId="0" fontId="18" fillId="9" borderId="0" xfId="0" applyFont="1" applyFill="1" applyAlignment="1"/>
    <xf numFmtId="172" fontId="19" fillId="9" borderId="0" xfId="0" applyNumberFormat="1" applyFont="1" applyFill="1"/>
    <xf numFmtId="0" fontId="29" fillId="8" borderId="0" xfId="0" applyFont="1" applyFill="1"/>
    <xf numFmtId="2" fontId="19" fillId="12" borderId="0" xfId="0" applyNumberFormat="1" applyFont="1" applyFill="1"/>
    <xf numFmtId="0" fontId="21" fillId="12" borderId="0" xfId="0" applyFont="1" applyFill="1" applyAlignment="1"/>
    <xf numFmtId="164" fontId="19" fillId="12" borderId="0" xfId="0" applyNumberFormat="1" applyFont="1" applyFill="1" applyAlignment="1">
      <alignment horizontal="center"/>
    </xf>
    <xf numFmtId="172" fontId="19" fillId="12" borderId="0" xfId="0" applyNumberFormat="1" applyFont="1" applyFill="1"/>
    <xf numFmtId="164" fontId="19" fillId="12" borderId="0" xfId="0" applyNumberFormat="1" applyFont="1" applyFill="1" applyAlignment="1">
      <alignment horizontal="center"/>
    </xf>
    <xf numFmtId="2" fontId="19" fillId="0" borderId="0" xfId="0" applyNumberFormat="1" applyFont="1" applyAlignment="1"/>
    <xf numFmtId="0" fontId="21" fillId="0" borderId="0" xfId="0" applyFont="1" applyAlignment="1"/>
    <xf numFmtId="172" fontId="19" fillId="0" borderId="0" xfId="0" applyNumberFormat="1" applyFont="1"/>
    <xf numFmtId="0" fontId="29" fillId="26" borderId="0" xfId="0" applyFont="1" applyFill="1" applyAlignment="1"/>
    <xf numFmtId="2" fontId="2" fillId="27" borderId="0" xfId="0" applyNumberFormat="1" applyFont="1" applyFill="1"/>
    <xf numFmtId="0" fontId="18" fillId="27" borderId="0" xfId="0" applyFont="1" applyFill="1" applyAlignment="1"/>
    <xf numFmtId="2" fontId="2" fillId="0" borderId="0" xfId="0" applyNumberFormat="1" applyFont="1"/>
    <xf numFmtId="0" fontId="18" fillId="28" borderId="0" xfId="0" applyFont="1" applyFill="1" applyAlignment="1"/>
    <xf numFmtId="2" fontId="2" fillId="5" borderId="0" xfId="0" applyNumberFormat="1" applyFont="1" applyFill="1"/>
    <xf numFmtId="0" fontId="18" fillId="5" borderId="0" xfId="0" applyFont="1" applyFill="1" applyAlignment="1"/>
    <xf numFmtId="165" fontId="2" fillId="8" borderId="4" xfId="0" applyNumberFormat="1" applyFont="1" applyFill="1" applyBorder="1"/>
    <xf numFmtId="170" fontId="2" fillId="12" borderId="4" xfId="0" applyNumberFormat="1" applyFont="1" applyFill="1" applyBorder="1"/>
    <xf numFmtId="170" fontId="2" fillId="8" borderId="4" xfId="0" applyNumberFormat="1" applyFont="1" applyFill="1" applyBorder="1"/>
    <xf numFmtId="167" fontId="2" fillId="8" borderId="4" xfId="0" applyNumberFormat="1" applyFont="1" applyFill="1" applyBorder="1"/>
    <xf numFmtId="0" fontId="2" fillId="0" borderId="37" xfId="0" applyFont="1" applyBorder="1"/>
    <xf numFmtId="0" fontId="46" fillId="6" borderId="0" xfId="0" applyFont="1" applyFill="1" applyAlignment="1"/>
    <xf numFmtId="166" fontId="2" fillId="0" borderId="5" xfId="0" applyNumberFormat="1" applyFont="1" applyBorder="1"/>
    <xf numFmtId="0" fontId="2" fillId="18" borderId="38" xfId="0" applyFont="1" applyFill="1" applyBorder="1" applyAlignment="1"/>
    <xf numFmtId="0" fontId="9" fillId="18" borderId="39" xfId="0" applyFont="1" applyFill="1" applyBorder="1" applyAlignment="1">
      <alignment horizontal="right"/>
    </xf>
    <xf numFmtId="0" fontId="2" fillId="18" borderId="39" xfId="0" applyFont="1" applyFill="1" applyBorder="1" applyAlignment="1"/>
    <xf numFmtId="0" fontId="7" fillId="18" borderId="40" xfId="0" applyFont="1" applyFill="1" applyBorder="1" applyAlignment="1">
      <alignment vertical="top"/>
    </xf>
    <xf numFmtId="166" fontId="2" fillId="12" borderId="0" xfId="0" applyNumberFormat="1" applyFont="1" applyFill="1"/>
    <xf numFmtId="166" fontId="2" fillId="0" borderId="0" xfId="0" applyNumberFormat="1" applyFont="1"/>
    <xf numFmtId="166" fontId="2" fillId="12" borderId="35" xfId="0" applyNumberFormat="1" applyFont="1" applyFill="1" applyBorder="1"/>
    <xf numFmtId="166" fontId="2" fillId="12" borderId="35" xfId="0" applyNumberFormat="1" applyFont="1" applyFill="1" applyBorder="1" applyAlignment="1"/>
    <xf numFmtId="166" fontId="2" fillId="0" borderId="35" xfId="0" applyNumberFormat="1" applyFont="1" applyBorder="1"/>
    <xf numFmtId="166" fontId="2" fillId="18" borderId="38" xfId="0" applyNumberFormat="1" applyFont="1" applyFill="1" applyBorder="1" applyAlignment="1"/>
    <xf numFmtId="166" fontId="2" fillId="18" borderId="39" xfId="0" applyNumberFormat="1" applyFont="1" applyFill="1" applyBorder="1"/>
    <xf numFmtId="166" fontId="2" fillId="18" borderId="40" xfId="0" applyNumberFormat="1" applyFont="1" applyFill="1" applyBorder="1"/>
    <xf numFmtId="166" fontId="2" fillId="18" borderId="39" xfId="0" applyNumberFormat="1" applyFont="1" applyFill="1" applyBorder="1" applyAlignment="1"/>
    <xf numFmtId="166" fontId="2" fillId="0" borderId="35" xfId="0" applyNumberFormat="1" applyFont="1" applyBorder="1" applyAlignment="1"/>
    <xf numFmtId="166" fontId="2" fillId="12" borderId="0" xfId="0" applyNumberFormat="1" applyFont="1" applyFill="1" applyAlignment="1"/>
    <xf numFmtId="166" fontId="2" fillId="0" borderId="37" xfId="0" applyNumberFormat="1" applyFont="1" applyBorder="1"/>
    <xf numFmtId="166" fontId="9" fillId="12" borderId="0" xfId="0" applyNumberFormat="1" applyFont="1" applyFill="1" applyAlignment="1">
      <alignment horizontal="right"/>
    </xf>
    <xf numFmtId="166" fontId="2" fillId="12" borderId="41" xfId="0" applyNumberFormat="1" applyFont="1" applyFill="1" applyBorder="1"/>
    <xf numFmtId="166" fontId="2" fillId="0" borderId="41" xfId="0" applyNumberFormat="1" applyFont="1" applyBorder="1"/>
    <xf numFmtId="166" fontId="2" fillId="12" borderId="42" xfId="0" applyNumberFormat="1" applyFont="1" applyFill="1" applyBorder="1"/>
    <xf numFmtId="166" fontId="9" fillId="12" borderId="43" xfId="0" applyNumberFormat="1" applyFont="1" applyFill="1" applyBorder="1" applyAlignment="1">
      <alignment horizontal="right"/>
    </xf>
    <xf numFmtId="166" fontId="2" fillId="0" borderId="42" xfId="0" applyNumberFormat="1" applyFont="1" applyBorder="1"/>
    <xf numFmtId="166" fontId="2" fillId="12" borderId="44" xfId="0" applyNumberFormat="1" applyFont="1" applyFill="1" applyBorder="1"/>
    <xf numFmtId="0" fontId="2" fillId="12" borderId="42" xfId="0" applyFont="1" applyFill="1" applyBorder="1"/>
    <xf numFmtId="0" fontId="2" fillId="0" borderId="42" xfId="0" applyFont="1" applyBorder="1"/>
    <xf numFmtId="0" fontId="9" fillId="12" borderId="45" xfId="0" applyFont="1" applyFill="1" applyBorder="1" applyAlignment="1"/>
    <xf numFmtId="0" fontId="2" fillId="12" borderId="45" xfId="0" applyFont="1" applyFill="1" applyBorder="1"/>
    <xf numFmtId="0" fontId="2" fillId="0" borderId="45" xfId="0" applyFont="1" applyBorder="1"/>
    <xf numFmtId="0" fontId="9" fillId="0" borderId="0" xfId="0" applyFont="1" applyAlignment="1">
      <alignment horizontal="center"/>
    </xf>
    <xf numFmtId="0" fontId="2" fillId="0" borderId="38" xfId="0" applyFont="1" applyBorder="1"/>
    <xf numFmtId="0" fontId="2" fillId="18" borderId="1" xfId="0" applyFont="1" applyFill="1" applyBorder="1" applyAlignment="1"/>
    <xf numFmtId="0" fontId="2" fillId="18" borderId="2" xfId="0" applyFont="1" applyFill="1" applyBorder="1" applyAlignment="1"/>
    <xf numFmtId="0" fontId="2" fillId="18" borderId="2" xfId="0" applyFont="1" applyFill="1" applyBorder="1"/>
    <xf numFmtId="0" fontId="2" fillId="0" borderId="36" xfId="0" applyFont="1" applyBorder="1"/>
    <xf numFmtId="166" fontId="2" fillId="0" borderId="7" xfId="0" applyNumberFormat="1" applyFont="1" applyBorder="1"/>
    <xf numFmtId="166" fontId="9" fillId="12" borderId="46" xfId="0" applyNumberFormat="1" applyFont="1" applyFill="1" applyBorder="1" applyAlignment="1">
      <alignment horizontal="right"/>
    </xf>
    <xf numFmtId="0" fontId="2" fillId="12" borderId="47" xfId="0" applyFont="1" applyFill="1" applyBorder="1"/>
    <xf numFmtId="0" fontId="2" fillId="0" borderId="41" xfId="0" applyFont="1" applyBorder="1"/>
    <xf numFmtId="0" fontId="2" fillId="0" borderId="48" xfId="0" applyFont="1" applyBorder="1"/>
    <xf numFmtId="166" fontId="2" fillId="12" borderId="45" xfId="0" applyNumberFormat="1" applyFont="1" applyFill="1" applyBorder="1"/>
    <xf numFmtId="0" fontId="9" fillId="18" borderId="2" xfId="0" applyFont="1" applyFill="1" applyBorder="1" applyAlignment="1">
      <alignment horizontal="right"/>
    </xf>
    <xf numFmtId="0" fontId="9" fillId="18" borderId="2" xfId="0" applyFont="1" applyFill="1" applyBorder="1"/>
    <xf numFmtId="0" fontId="2" fillId="18" borderId="39" xfId="0" applyFont="1" applyFill="1" applyBorder="1"/>
    <xf numFmtId="0" fontId="2" fillId="18" borderId="40" xfId="0" applyFont="1" applyFill="1" applyBorder="1"/>
    <xf numFmtId="0" fontId="2" fillId="18" borderId="48" xfId="0" applyFont="1" applyFill="1" applyBorder="1" applyAlignment="1"/>
    <xf numFmtId="0" fontId="2" fillId="18" borderId="35" xfId="0" applyFont="1" applyFill="1" applyBorder="1" applyAlignment="1">
      <alignment horizontal="center"/>
    </xf>
    <xf numFmtId="0" fontId="2" fillId="18" borderId="35" xfId="0" applyFont="1" applyFill="1" applyBorder="1" applyAlignment="1">
      <alignment horizontal="center"/>
    </xf>
    <xf numFmtId="0" fontId="2" fillId="18" borderId="35" xfId="0" applyFont="1" applyFill="1" applyBorder="1"/>
    <xf numFmtId="0" fontId="2" fillId="18" borderId="49" xfId="0" applyFont="1" applyFill="1" applyBorder="1"/>
    <xf numFmtId="165" fontId="2" fillId="0" borderId="41" xfId="0" applyNumberFormat="1" applyFont="1" applyBorder="1"/>
    <xf numFmtId="0" fontId="2" fillId="0" borderId="50" xfId="0" applyFont="1" applyBorder="1"/>
    <xf numFmtId="166" fontId="21" fillId="0" borderId="13" xfId="0" applyNumberFormat="1" applyFont="1" applyFill="1" applyBorder="1"/>
    <xf numFmtId="0" fontId="2" fillId="0" borderId="51" xfId="0" applyFont="1" applyBorder="1"/>
    <xf numFmtId="1" fontId="0" fillId="0" borderId="0" xfId="0" applyNumberFormat="1" applyFont="1" applyAlignment="1"/>
    <xf numFmtId="0" fontId="47" fillId="0" borderId="0" xfId="0" applyFont="1" applyAlignment="1"/>
    <xf numFmtId="166" fontId="2" fillId="0" borderId="1" xfId="0" applyNumberFormat="1" applyFont="1" applyBorder="1" applyAlignment="1"/>
    <xf numFmtId="166" fontId="2" fillId="18" borderId="0" xfId="0" applyNumberFormat="1" applyFont="1" applyFill="1" applyBorder="1"/>
    <xf numFmtId="166" fontId="2" fillId="12" borderId="52" xfId="0" applyNumberFormat="1" applyFont="1" applyFill="1" applyBorder="1"/>
    <xf numFmtId="166" fontId="2" fillId="12" borderId="52" xfId="0" applyNumberFormat="1" applyFont="1" applyFill="1" applyBorder="1" applyAlignment="1"/>
    <xf numFmtId="0" fontId="2" fillId="18" borderId="2" xfId="0" applyFont="1" applyFill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166" fontId="2" fillId="0" borderId="5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7" xfId="0" applyFont="1" applyBorder="1" applyAlignment="1"/>
    <xf numFmtId="0" fontId="0" fillId="0" borderId="56" xfId="0" applyFont="1" applyBorder="1" applyAlignment="1"/>
    <xf numFmtId="0" fontId="0" fillId="0" borderId="0" xfId="0" applyFont="1" applyBorder="1" applyAlignment="1"/>
    <xf numFmtId="0" fontId="0" fillId="0" borderId="58" xfId="0" applyFont="1" applyBorder="1" applyAlignment="1"/>
    <xf numFmtId="0" fontId="0" fillId="0" borderId="59" xfId="0" applyFont="1" applyBorder="1" applyAlignment="1"/>
    <xf numFmtId="166" fontId="49" fillId="29" borderId="53" xfId="0" applyNumberFormat="1" applyFont="1" applyFill="1" applyBorder="1" applyAlignment="1">
      <alignment horizontal="center"/>
    </xf>
    <xf numFmtId="0" fontId="48" fillId="29" borderId="54" xfId="0" applyFont="1" applyFill="1" applyBorder="1" applyAlignment="1">
      <alignment horizontal="center"/>
    </xf>
    <xf numFmtId="166" fontId="49" fillId="29" borderId="54" xfId="0" applyNumberFormat="1" applyFont="1" applyFill="1" applyBorder="1" applyAlignment="1">
      <alignment horizontal="center"/>
    </xf>
    <xf numFmtId="166" fontId="49" fillId="29" borderId="55" xfId="0" applyNumberFormat="1" applyFont="1" applyFill="1" applyBorder="1" applyAlignment="1">
      <alignment horizontal="center"/>
    </xf>
    <xf numFmtId="0" fontId="0" fillId="0" borderId="0" xfId="0" applyFont="1" applyAlignment="1"/>
    <xf numFmtId="166" fontId="2" fillId="0" borderId="48" xfId="0" applyNumberFormat="1" applyFont="1" applyBorder="1" applyAlignment="1"/>
    <xf numFmtId="0" fontId="0" fillId="30" borderId="0" xfId="0" applyFont="1" applyFill="1" applyAlignment="1"/>
    <xf numFmtId="166" fontId="49" fillId="29" borderId="0" xfId="0" applyNumberFormat="1" applyFont="1" applyFill="1" applyBorder="1" applyAlignment="1">
      <alignment horizontal="center"/>
    </xf>
    <xf numFmtId="0" fontId="0" fillId="30" borderId="60" xfId="0" applyFont="1" applyFill="1" applyBorder="1" applyAlignment="1"/>
    <xf numFmtId="166" fontId="0" fillId="0" borderId="56" xfId="0" applyNumberFormat="1" applyFont="1" applyBorder="1" applyAlignment="1"/>
    <xf numFmtId="166" fontId="0" fillId="0" borderId="61" xfId="0" applyNumberFormat="1" applyFont="1" applyBorder="1" applyAlignment="1"/>
    <xf numFmtId="0" fontId="51" fillId="2" borderId="0" xfId="1" applyFont="1" applyFill="1" applyAlignment="1"/>
    <xf numFmtId="0" fontId="3" fillId="5" borderId="1" xfId="0" applyFont="1" applyFill="1" applyBorder="1" applyAlignment="1"/>
    <xf numFmtId="0" fontId="2" fillId="0" borderId="3" xfId="0" applyFont="1" applyBorder="1"/>
    <xf numFmtId="0" fontId="2" fillId="5" borderId="1" xfId="0" applyFont="1" applyFill="1" applyBorder="1" applyAlignment="1"/>
    <xf numFmtId="0" fontId="2" fillId="0" borderId="2" xfId="0" applyFont="1" applyBorder="1"/>
    <xf numFmtId="0" fontId="3" fillId="9" borderId="1" xfId="0" applyFont="1" applyFill="1" applyBorder="1" applyAlignment="1"/>
    <xf numFmtId="0" fontId="16" fillId="8" borderId="2" xfId="0" applyFont="1" applyFill="1" applyBorder="1" applyAlignment="1"/>
    <xf numFmtId="0" fontId="2" fillId="4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8" fillId="0" borderId="0" xfId="0" applyFont="1" applyAlignment="1">
      <alignment vertical="top" wrapText="1"/>
    </xf>
    <xf numFmtId="0" fontId="0" fillId="0" borderId="0" xfId="0" applyFont="1" applyAlignment="1"/>
    <xf numFmtId="0" fontId="2" fillId="0" borderId="1" xfId="0" applyFont="1" applyBorder="1" applyAlignment="1"/>
    <xf numFmtId="0" fontId="2" fillId="3" borderId="1" xfId="0" applyFont="1" applyFill="1" applyBorder="1" applyAlignment="1"/>
    <xf numFmtId="0" fontId="16" fillId="6" borderId="2" xfId="0" applyFont="1" applyFill="1" applyBorder="1" applyAlignment="1"/>
    <xf numFmtId="0" fontId="16" fillId="12" borderId="2" xfId="0" applyFont="1" applyFill="1" applyBorder="1" applyAlignment="1">
      <alignment horizontal="left"/>
    </xf>
    <xf numFmtId="0" fontId="16" fillId="12" borderId="3" xfId="0" applyFont="1" applyFill="1" applyBorder="1" applyAlignment="1">
      <alignment horizontal="left"/>
    </xf>
    <xf numFmtId="0" fontId="31" fillId="12" borderId="0" xfId="0" applyFont="1" applyFill="1" applyAlignment="1">
      <alignment horizontal="left" vertical="center"/>
    </xf>
    <xf numFmtId="0" fontId="31" fillId="12" borderId="0" xfId="0" applyFont="1" applyFill="1" applyAlignment="1">
      <alignment vertical="center"/>
    </xf>
    <xf numFmtId="0" fontId="41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1">
    <dxf>
      <font>
        <b/>
        <color rgb="FF0B5394"/>
      </font>
      <fill>
        <patternFill patternType="none"/>
      </fill>
    </dxf>
  </dxfs>
  <tableStyles count="0" defaultTableStyle="TableStyleMedium2" defaultPivotStyle="PivotStyleLight16"/>
  <colors>
    <mruColors>
      <color rgb="FFAE78D6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es-GT"/>
              <a:t>Equilibrio líquido-vapor del sistema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Equilibrio!$L$31</c:f>
              <c:strCache>
                <c:ptCount val="1"/>
                <c:pt idx="0">
                  <c:v>y1</c:v>
                </c:pt>
              </c:strCache>
            </c:strRef>
          </c:tx>
          <c:spPr>
            <a:ln w="12700" cmpd="sng">
              <a:solidFill>
                <a:srgbClr val="3366CC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3366CC"/>
              </a:solidFill>
              <a:ln cmpd="sng">
                <a:solidFill>
                  <a:srgbClr val="3366CC"/>
                </a:solidFill>
                <a:prstDash val="solid"/>
              </a:ln>
            </c:spPr>
          </c:marker>
          <c:cat>
            <c:strRef>
              <c:f>Equilibrio!$A$32:$A$53</c:f>
              <c:strCache>
                <c:ptCount val="22"/>
                <c:pt idx="0">
                  <c:v>0.00</c:v>
                </c:pt>
                <c:pt idx="1">
                  <c:v>0.05</c:v>
                </c:pt>
                <c:pt idx="2">
                  <c:v>0.10</c:v>
                </c:pt>
                <c:pt idx="3">
                  <c:v>0.15</c:v>
                </c:pt>
                <c:pt idx="4">
                  <c:v>0.20</c:v>
                </c:pt>
                <c:pt idx="5">
                  <c:v>0.25</c:v>
                </c:pt>
                <c:pt idx="6">
                  <c:v>0.30</c:v>
                </c:pt>
                <c:pt idx="7">
                  <c:v>0.35</c:v>
                </c:pt>
                <c:pt idx="8">
                  <c:v>0.40</c:v>
                </c:pt>
                <c:pt idx="9">
                  <c:v>0.45</c:v>
                </c:pt>
                <c:pt idx="10">
                  <c:v>0.50</c:v>
                </c:pt>
                <c:pt idx="11">
                  <c:v>0.55</c:v>
                </c:pt>
                <c:pt idx="12">
                  <c:v>0.60</c:v>
                </c:pt>
                <c:pt idx="13">
                  <c:v>0.65</c:v>
                </c:pt>
                <c:pt idx="14">
                  <c:v>0.70</c:v>
                </c:pt>
                <c:pt idx="15">
                  <c:v>0.75</c:v>
                </c:pt>
                <c:pt idx="16">
                  <c:v>0.80</c:v>
                </c:pt>
                <c:pt idx="17">
                  <c:v>0.85</c:v>
                </c:pt>
                <c:pt idx="18">
                  <c:v>0.90</c:v>
                </c:pt>
                <c:pt idx="19">
                  <c:v>0.95</c:v>
                </c:pt>
                <c:pt idx="20">
                  <c:v>1.00</c:v>
                </c:pt>
                <c:pt idx="21">
                  <c:v>↑ Aquí no es necesario modificar los valores de x</c:v>
                </c:pt>
              </c:strCache>
            </c:strRef>
          </c:cat>
          <c:val>
            <c:numRef>
              <c:f>Equilibrio!$L$32:$L$52</c:f>
              <c:numCache>
                <c:formatCode>0.000000</c:formatCode>
                <c:ptCount val="21"/>
                <c:pt idx="0" formatCode="General">
                  <c:v>0</c:v>
                </c:pt>
                <c:pt idx="1">
                  <c:v>0.34685262181775628</c:v>
                </c:pt>
                <c:pt idx="2">
                  <c:v>0.39620261549199831</c:v>
                </c:pt>
                <c:pt idx="3">
                  <c:v>0.40251403670123037</c:v>
                </c:pt>
                <c:pt idx="4">
                  <c:v>0.39927143824177985</c:v>
                </c:pt>
                <c:pt idx="5">
                  <c:v>0.3954041942780282</c:v>
                </c:pt>
                <c:pt idx="6">
                  <c:v>0.39387074985646775</c:v>
                </c:pt>
                <c:pt idx="7">
                  <c:v>0.39572190180960287</c:v>
                </c:pt>
                <c:pt idx="8">
                  <c:v>0.40135625500656147</c:v>
                </c:pt>
                <c:pt idx="9">
                  <c:v>0.41098194404511235</c:v>
                </c:pt>
                <c:pt idx="10">
                  <c:v>0.42480295384403316</c:v>
                </c:pt>
                <c:pt idx="11">
                  <c:v>0.44311384023056177</c:v>
                </c:pt>
                <c:pt idx="12">
                  <c:v>0.46635596640389321</c:v>
                </c:pt>
                <c:pt idx="13">
                  <c:v>0.49517074237677861</c:v>
                </c:pt>
                <c:pt idx="14">
                  <c:v>0.53046251744988893</c:v>
                </c:pt>
                <c:pt idx="15">
                  <c:v>0.57349272831389286</c:v>
                </c:pt>
                <c:pt idx="16">
                  <c:v>0.62601566767698136</c:v>
                </c:pt>
                <c:pt idx="17">
                  <c:v>0.69049576161582016</c:v>
                </c:pt>
                <c:pt idx="18">
                  <c:v>0.77044722398875287</c:v>
                </c:pt>
                <c:pt idx="19">
                  <c:v>0.871023840011936</c:v>
                </c:pt>
                <c:pt idx="20">
                  <c:v>1.00000214329857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2C39-4347-9D5A-868DAFC629D0}"/>
            </c:ext>
          </c:extLst>
        </c:ser>
        <c:ser>
          <c:idx val="1"/>
          <c:order val="1"/>
          <c:tx>
            <c:strRef>
              <c:f>Equilibrio!$N$31</c:f>
              <c:strCache>
                <c:ptCount val="1"/>
                <c:pt idx="0">
                  <c:v>Diagonal 45°</c:v>
                </c:pt>
              </c:strCache>
            </c:strRef>
          </c:tx>
          <c:spPr>
            <a:ln w="25400" cmpd="sng">
              <a:solidFill>
                <a:srgbClr val="B7B7B7"/>
              </a:solidFill>
              <a:prstDash val="solid"/>
            </a:ln>
          </c:spPr>
          <c:marker>
            <c:symbol val="none"/>
          </c:marker>
          <c:cat>
            <c:strRef>
              <c:f>Equilibrio!$A$32:$A$53</c:f>
              <c:strCache>
                <c:ptCount val="22"/>
                <c:pt idx="0">
                  <c:v>0.00</c:v>
                </c:pt>
                <c:pt idx="1">
                  <c:v>0.05</c:v>
                </c:pt>
                <c:pt idx="2">
                  <c:v>0.10</c:v>
                </c:pt>
                <c:pt idx="3">
                  <c:v>0.15</c:v>
                </c:pt>
                <c:pt idx="4">
                  <c:v>0.20</c:v>
                </c:pt>
                <c:pt idx="5">
                  <c:v>0.25</c:v>
                </c:pt>
                <c:pt idx="6">
                  <c:v>0.30</c:v>
                </c:pt>
                <c:pt idx="7">
                  <c:v>0.35</c:v>
                </c:pt>
                <c:pt idx="8">
                  <c:v>0.40</c:v>
                </c:pt>
                <c:pt idx="9">
                  <c:v>0.45</c:v>
                </c:pt>
                <c:pt idx="10">
                  <c:v>0.50</c:v>
                </c:pt>
                <c:pt idx="11">
                  <c:v>0.55</c:v>
                </c:pt>
                <c:pt idx="12">
                  <c:v>0.60</c:v>
                </c:pt>
                <c:pt idx="13">
                  <c:v>0.65</c:v>
                </c:pt>
                <c:pt idx="14">
                  <c:v>0.70</c:v>
                </c:pt>
                <c:pt idx="15">
                  <c:v>0.75</c:v>
                </c:pt>
                <c:pt idx="16">
                  <c:v>0.80</c:v>
                </c:pt>
                <c:pt idx="17">
                  <c:v>0.85</c:v>
                </c:pt>
                <c:pt idx="18">
                  <c:v>0.90</c:v>
                </c:pt>
                <c:pt idx="19">
                  <c:v>0.95</c:v>
                </c:pt>
                <c:pt idx="20">
                  <c:v>1.00</c:v>
                </c:pt>
                <c:pt idx="21">
                  <c:v>↑ Aquí no es necesario modificar los valores de x</c:v>
                </c:pt>
              </c:strCache>
            </c:strRef>
          </c:cat>
          <c:val>
            <c:numRef>
              <c:f>Equilibrio!$N$32:$N$52</c:f>
              <c:numCache>
                <c:formatCode>0.00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0.65</c:v>
                </c:pt>
                <c:pt idx="14">
                  <c:v>0.7</c:v>
                </c:pt>
                <c:pt idx="15">
                  <c:v>0.75</c:v>
                </c:pt>
                <c:pt idx="16">
                  <c:v>0.8</c:v>
                </c:pt>
                <c:pt idx="17">
                  <c:v>0.85</c:v>
                </c:pt>
                <c:pt idx="18">
                  <c:v>0.9</c:v>
                </c:pt>
                <c:pt idx="19">
                  <c:v>0.95</c:v>
                </c:pt>
                <c:pt idx="2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2C39-4347-9D5A-868DAFC62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495936"/>
        <c:axId val="233498112"/>
      </c:lineChart>
      <c:catAx>
        <c:axId val="23349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rPr lang="es-GT"/>
                  <a:t>Composición de (1) en el líquido - x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s-GT"/>
          </a:p>
        </c:txPr>
        <c:crossAx val="233498112"/>
        <c:crosses val="autoZero"/>
        <c:auto val="1"/>
        <c:lblAlgn val="ctr"/>
        <c:lblOffset val="100"/>
        <c:noMultiLvlLbl val="1"/>
      </c:catAx>
      <c:valAx>
        <c:axId val="2334981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rPr lang="es-GT"/>
                  <a:t>Composición de (1) en el vapor - y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s-GT"/>
          </a:p>
        </c:txPr>
        <c:crossAx val="23349593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y vs. x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'Datos del usuario'!$I$6</c:f>
              <c:strCache>
                <c:ptCount val="1"/>
                <c:pt idx="0">
                  <c:v>y1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'Datos del usuario'!$H$7:$H$27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xVal>
          <c:yVal>
            <c:numRef>
              <c:f>'Datos del usuario'!$I$7:$I$27</c:f>
              <c:numCache>
                <c:formatCode>0.00</c:formatCode>
                <c:ptCount val="21"/>
                <c:pt idx="0">
                  <c:v>0</c:v>
                </c:pt>
                <c:pt idx="1">
                  <c:v>4.1200000000000001E-2</c:v>
                </c:pt>
                <c:pt idx="2">
                  <c:v>8.2299999999999998E-2</c:v>
                </c:pt>
                <c:pt idx="3">
                  <c:v>0.11890000000000001</c:v>
                </c:pt>
                <c:pt idx="4">
                  <c:v>0.1555</c:v>
                </c:pt>
                <c:pt idx="5">
                  <c:v>0.21079999999999999</c:v>
                </c:pt>
                <c:pt idx="6">
                  <c:v>0.26600000000000001</c:v>
                </c:pt>
                <c:pt idx="7">
                  <c:v>0.33250000000000002</c:v>
                </c:pt>
                <c:pt idx="8">
                  <c:v>0.4138</c:v>
                </c:pt>
                <c:pt idx="9">
                  <c:v>0.495</c:v>
                </c:pt>
                <c:pt idx="10">
                  <c:v>0.63400000000000001</c:v>
                </c:pt>
                <c:pt idx="11">
                  <c:v>0.6905</c:v>
                </c:pt>
                <c:pt idx="12">
                  <c:v>0.747</c:v>
                </c:pt>
                <c:pt idx="13">
                  <c:v>0.78800000000000003</c:v>
                </c:pt>
                <c:pt idx="14">
                  <c:v>0.82899999999999996</c:v>
                </c:pt>
                <c:pt idx="15">
                  <c:v>0.85350000000000004</c:v>
                </c:pt>
                <c:pt idx="16">
                  <c:v>0.878</c:v>
                </c:pt>
                <c:pt idx="17">
                  <c:v>0.90500000000000003</c:v>
                </c:pt>
                <c:pt idx="18">
                  <c:v>0.93200000000000005</c:v>
                </c:pt>
                <c:pt idx="19">
                  <c:v>0.96599999999999997</c:v>
                </c:pt>
                <c:pt idx="2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FB9A-4B74-90A5-4C84A4390196}"/>
            </c:ext>
          </c:extLst>
        </c:ser>
        <c:ser>
          <c:idx val="1"/>
          <c:order val="1"/>
          <c:tx>
            <c:strRef>
              <c:f>'Datos del usuario'!$J$6</c:f>
              <c:strCache>
                <c:ptCount val="1"/>
                <c:pt idx="0">
                  <c:v>Diag. 45°</c:v>
                </c:pt>
              </c:strCache>
            </c:strRef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'Datos del usuario'!$H$7:$H$27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xVal>
          <c:yVal>
            <c:numRef>
              <c:f>'Datos del usuario'!$J$7:$J$27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FB9A-4B74-90A5-4C84A4390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560128"/>
        <c:axId val="252561664"/>
      </c:scatterChart>
      <c:valAx>
        <c:axId val="25256012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2561664"/>
        <c:crosses val="autoZero"/>
        <c:crossBetween val="midCat"/>
        <c:majorUnit val="0.1"/>
      </c:valAx>
      <c:valAx>
        <c:axId val="2525616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256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es-GT"/>
              <a:t>y1 vs. x1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'Líneas de Tendencia'!$B$9</c:f>
              <c:strCache>
                <c:ptCount val="1"/>
                <c:pt idx="0">
                  <c:v>y1*</c:v>
                </c:pt>
              </c:strCache>
            </c:strRef>
          </c:tx>
          <c:spPr>
            <a:ln w="12700" cmpd="sng">
              <a:solidFill>
                <a:srgbClr val="6AA84F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6AA84F"/>
              </a:solidFill>
              <a:ln cmpd="sng">
                <a:solidFill>
                  <a:srgbClr val="6AA84F"/>
                </a:solidFill>
                <a:prstDash val="solid"/>
              </a:ln>
            </c:spPr>
          </c:marker>
          <c:trendline>
            <c:spPr>
              <a:ln w="19050">
                <a:solidFill>
                  <a:srgbClr val="6AA84F">
                    <a:alpha val="40000"/>
                  </a:srgbClr>
                </a:solidFill>
              </a:ln>
            </c:spPr>
            <c:trendlineType val="exp"/>
            <c:dispRSqr val="1"/>
            <c:dispEq val="1"/>
            <c:trendlineLbl>
              <c:numFmt formatCode="General" sourceLinked="0"/>
            </c:trendlineLbl>
          </c:trendline>
          <c:cat>
            <c:numRef>
              <c:f>'Líneas de Tendencia'!$A$10:$A$30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cat>
          <c:val>
            <c:numRef>
              <c:f>'Líneas de Tendencia'!$B$10:$B$30</c:f>
              <c:numCache>
                <c:formatCode>0.00</c:formatCode>
                <c:ptCount val="21"/>
                <c:pt idx="0">
                  <c:v>0</c:v>
                </c:pt>
                <c:pt idx="1">
                  <c:v>4.1200000000000001E-2</c:v>
                </c:pt>
                <c:pt idx="2">
                  <c:v>8.2299999999999998E-2</c:v>
                </c:pt>
                <c:pt idx="3">
                  <c:v>0.11890000000000001</c:v>
                </c:pt>
                <c:pt idx="4">
                  <c:v>0.1555</c:v>
                </c:pt>
                <c:pt idx="5">
                  <c:v>0.21079999999999999</c:v>
                </c:pt>
                <c:pt idx="6">
                  <c:v>0.26600000000000001</c:v>
                </c:pt>
                <c:pt idx="7">
                  <c:v>0.33250000000000002</c:v>
                </c:pt>
                <c:pt idx="8">
                  <c:v>0.4138</c:v>
                </c:pt>
                <c:pt idx="9">
                  <c:v>0.495</c:v>
                </c:pt>
                <c:pt idx="10">
                  <c:v>0.63400000000000001</c:v>
                </c:pt>
                <c:pt idx="11">
                  <c:v>0.6905</c:v>
                </c:pt>
                <c:pt idx="12">
                  <c:v>0.747</c:v>
                </c:pt>
                <c:pt idx="13">
                  <c:v>0.78800000000000003</c:v>
                </c:pt>
                <c:pt idx="14">
                  <c:v>0.82899999999999996</c:v>
                </c:pt>
                <c:pt idx="15">
                  <c:v>0.85350000000000004</c:v>
                </c:pt>
                <c:pt idx="16">
                  <c:v>0.878</c:v>
                </c:pt>
                <c:pt idx="17">
                  <c:v>0.90500000000000003</c:v>
                </c:pt>
                <c:pt idx="18">
                  <c:v>0.93200000000000005</c:v>
                </c:pt>
                <c:pt idx="19">
                  <c:v>0.96599999999999997</c:v>
                </c:pt>
                <c:pt idx="2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D98E-450C-BFB4-61F089F9C55A}"/>
            </c:ext>
          </c:extLst>
        </c:ser>
        <c:ser>
          <c:idx val="1"/>
          <c:order val="1"/>
          <c:tx>
            <c:strRef>
              <c:f>'Líneas de Tendencia'!$E$9</c:f>
              <c:strCache>
                <c:ptCount val="1"/>
                <c:pt idx="0">
                  <c:v>Diagonal 45°</c:v>
                </c:pt>
              </c:strCache>
            </c:strRef>
          </c:tx>
          <c:spPr>
            <a:ln w="25400" cmpd="sng">
              <a:solidFill>
                <a:srgbClr val="CCCCCC"/>
              </a:solidFill>
              <a:prstDash val="solid"/>
            </a:ln>
          </c:spPr>
          <c:marker>
            <c:symbol val="none"/>
          </c:marker>
          <c:cat>
            <c:numRef>
              <c:f>'Líneas de Tendencia'!$A$10:$A$30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cat>
          <c:val>
            <c:numRef>
              <c:f>'Líneas de Tendencia'!$E$10:$E$30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2-D98E-450C-BFB4-61F089F9C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101568"/>
        <c:axId val="253103488"/>
      </c:lineChart>
      <c:catAx>
        <c:axId val="253101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rPr lang="es-GT"/>
                  <a:t>x1</a:t>
                </a:r>
              </a:p>
            </c:rich>
          </c:tx>
          <c:overlay val="0"/>
        </c:title>
        <c:numFmt formatCode="0.00" sourceLinked="1"/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s-GT"/>
          </a:p>
        </c:txPr>
        <c:crossAx val="253103488"/>
        <c:crosses val="autoZero"/>
        <c:auto val="1"/>
        <c:lblAlgn val="ctr"/>
        <c:lblOffset val="100"/>
        <c:noMultiLvlLbl val="1"/>
      </c:catAx>
      <c:valAx>
        <c:axId val="253103488"/>
        <c:scaling>
          <c:orientation val="minMax"/>
          <c:max val="1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/>
                </a:pPr>
                <a:r>
                  <a:rPr lang="es-GT"/>
                  <a:t>y1</a:t>
                </a:r>
              </a:p>
            </c:rich>
          </c:tx>
          <c:overlay val="0"/>
        </c:title>
        <c:numFmt formatCode="0.0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s-GT"/>
          </a:p>
        </c:txPr>
        <c:crossAx val="25310156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000">
              <a:solidFill>
                <a:srgbClr val="222222"/>
              </a:solidFill>
            </a:defRPr>
          </a:pPr>
          <a:endParaRPr lang="es-GT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y</a:t>
            </a:r>
            <a:r>
              <a:rPr lang="es-GT" baseline="0"/>
              <a:t> vs. x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'Resolución McCabe-Thiele'!$T$7</c:f>
              <c:strCache>
                <c:ptCount val="1"/>
                <c:pt idx="0">
                  <c:v>y1*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'Resolución McCabe-Thiele'!$S$8:$S$28</c:f>
              <c:numCache>
                <c:formatCode>0.000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xVal>
          <c:yVal>
            <c:numRef>
              <c:f>'Resolución McCabe-Thiele'!$T$8:$T$28</c:f>
              <c:numCache>
                <c:formatCode>0.000</c:formatCode>
                <c:ptCount val="21"/>
                <c:pt idx="0">
                  <c:v>0</c:v>
                </c:pt>
                <c:pt idx="1">
                  <c:v>4.1200000000000001E-2</c:v>
                </c:pt>
                <c:pt idx="2">
                  <c:v>8.2299999999999998E-2</c:v>
                </c:pt>
                <c:pt idx="3">
                  <c:v>0.11890000000000001</c:v>
                </c:pt>
                <c:pt idx="4">
                  <c:v>0.1555</c:v>
                </c:pt>
                <c:pt idx="5">
                  <c:v>0.21079999999999999</c:v>
                </c:pt>
                <c:pt idx="6">
                  <c:v>0.26600000000000001</c:v>
                </c:pt>
                <c:pt idx="7">
                  <c:v>0.33250000000000002</c:v>
                </c:pt>
                <c:pt idx="8">
                  <c:v>0.4138</c:v>
                </c:pt>
                <c:pt idx="9">
                  <c:v>0.495</c:v>
                </c:pt>
                <c:pt idx="10">
                  <c:v>0.63400000000000001</c:v>
                </c:pt>
                <c:pt idx="11">
                  <c:v>0.6905</c:v>
                </c:pt>
                <c:pt idx="12">
                  <c:v>0.747</c:v>
                </c:pt>
                <c:pt idx="13">
                  <c:v>0.78800000000000003</c:v>
                </c:pt>
                <c:pt idx="14">
                  <c:v>0.82899999999999996</c:v>
                </c:pt>
                <c:pt idx="15">
                  <c:v>0.85350000000000004</c:v>
                </c:pt>
                <c:pt idx="16">
                  <c:v>0.878</c:v>
                </c:pt>
                <c:pt idx="17">
                  <c:v>0.90500000000000003</c:v>
                </c:pt>
                <c:pt idx="18">
                  <c:v>0.93200000000000005</c:v>
                </c:pt>
                <c:pt idx="19">
                  <c:v>0.96599999999999997</c:v>
                </c:pt>
                <c:pt idx="2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18BC-41F7-AF36-444043CB57B9}"/>
            </c:ext>
          </c:extLst>
        </c:ser>
        <c:ser>
          <c:idx val="1"/>
          <c:order val="1"/>
          <c:tx>
            <c:strRef>
              <c:f>'Resolución McCabe-Thiele'!$W$7</c:f>
              <c:strCache>
                <c:ptCount val="1"/>
                <c:pt idx="0">
                  <c:v>Diagonal 45°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'Resolución McCabe-Thiele'!$S$8:$S$28</c:f>
              <c:numCache>
                <c:formatCode>0.000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xVal>
          <c:yVal>
            <c:numRef>
              <c:f>'Resolución McCabe-Thiele'!$W$8:$W$28</c:f>
              <c:numCache>
                <c:formatCode>0.00</c:formatCode>
                <c:ptCount val="21"/>
                <c:pt idx="0">
                  <c:v>0</c:v>
                </c:pt>
                <c:pt idx="1">
                  <c:v>1.4800000000000001E-2</c:v>
                </c:pt>
                <c:pt idx="2">
                  <c:v>2.9600000000000001E-2</c:v>
                </c:pt>
                <c:pt idx="3">
                  <c:v>4.5600000000000002E-2</c:v>
                </c:pt>
                <c:pt idx="4">
                  <c:v>6.1499999999999999E-2</c:v>
                </c:pt>
                <c:pt idx="5">
                  <c:v>8.6099999999999996E-2</c:v>
                </c:pt>
                <c:pt idx="6">
                  <c:v>0.1106</c:v>
                </c:pt>
                <c:pt idx="7">
                  <c:v>0.14349999999999999</c:v>
                </c:pt>
                <c:pt idx="8">
                  <c:v>0.20100000000000001</c:v>
                </c:pt>
                <c:pt idx="9">
                  <c:v>0.25850000000000001</c:v>
                </c:pt>
                <c:pt idx="10">
                  <c:v>0.39079999999999998</c:v>
                </c:pt>
                <c:pt idx="11">
                  <c:v>0.46129999999999999</c:v>
                </c:pt>
                <c:pt idx="12">
                  <c:v>0.53180000000000005</c:v>
                </c:pt>
                <c:pt idx="13">
                  <c:v>0.59740000000000004</c:v>
                </c:pt>
                <c:pt idx="14">
                  <c:v>0.66300000000000003</c:v>
                </c:pt>
                <c:pt idx="15">
                  <c:v>0.71020000000000005</c:v>
                </c:pt>
                <c:pt idx="16">
                  <c:v>0.75739999999999996</c:v>
                </c:pt>
                <c:pt idx="17">
                  <c:v>0.80889999999999995</c:v>
                </c:pt>
                <c:pt idx="18">
                  <c:v>0.86040000000000005</c:v>
                </c:pt>
                <c:pt idx="19">
                  <c:v>0.93020000000000003</c:v>
                </c:pt>
                <c:pt idx="20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18BC-41F7-AF36-444043CB5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701696"/>
        <c:axId val="253174528"/>
      </c:scatterChart>
      <c:valAx>
        <c:axId val="25270169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3174528"/>
        <c:crosses val="autoZero"/>
        <c:crossBetween val="midCat"/>
        <c:majorUnit val="0.1"/>
      </c:valAx>
      <c:valAx>
        <c:axId val="253174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2701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'Líneas de Tendencia'!$A$137</c:f>
              <c:strCache>
                <c:ptCount val="1"/>
                <c:pt idx="0">
                  <c:v>y1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Tendencia'!$B$138:$B$178</c:f>
              <c:numCache>
                <c:formatCode>0.000</c:formatCode>
                <c:ptCount val="4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0.70009999999999994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</c:numCache>
            </c:numRef>
          </c:xVal>
          <c:yVal>
            <c:numRef>
              <c:f>'Líneas de Tendencia'!$A$138:$A$178</c:f>
              <c:numCache>
                <c:formatCode>0.000</c:formatCode>
                <c:ptCount val="41"/>
                <c:pt idx="0">
                  <c:v>1.1394919696843253E-3</c:v>
                </c:pt>
                <c:pt idx="1">
                  <c:v>6.7251383268311107E-2</c:v>
                </c:pt>
                <c:pt idx="2">
                  <c:v>0.1302503104520204</c:v>
                </c:pt>
                <c:pt idx="3">
                  <c:v>0.1891148125944746</c:v>
                </c:pt>
                <c:pt idx="4">
                  <c:v>0.24338907240355487</c:v>
                </c:pt>
                <c:pt idx="5">
                  <c:v>0.29302344412928544</c:v>
                </c:pt>
                <c:pt idx="6">
                  <c:v>0.33824236012771625</c:v>
                </c:pt>
                <c:pt idx="7">
                  <c:v>0.37943770010711403</c:v>
                </c:pt>
                <c:pt idx="8">
                  <c:v>0.41708539169376924</c:v>
                </c:pt>
                <c:pt idx="9">
                  <c:v>0.45168278918379379</c:v>
                </c:pt>
                <c:pt idx="10">
                  <c:v>0.48370424140973278</c:v>
                </c:pt>
                <c:pt idx="11">
                  <c:v>0.51357220176189666</c:v>
                </c:pt>
                <c:pt idx="12">
                  <c:v>0.54164124577932116</c:v>
                </c:pt>
                <c:pt idx="13">
                  <c:v>0.5681924365794242</c:v>
                </c:pt>
                <c:pt idx="14">
                  <c:v>0.59343560794403361</c:v>
                </c:pt>
                <c:pt idx="15">
                  <c:v>0.61751731133776833</c:v>
                </c:pt>
                <c:pt idx="16">
                  <c:v>0.64053238871802509</c:v>
                </c:pt>
                <c:pt idx="17">
                  <c:v>0.66253737991932904</c:v>
                </c:pt>
                <c:pt idx="18">
                  <c:v>0.6835642438738051</c:v>
                </c:pt>
                <c:pt idx="19">
                  <c:v>0.70363315917929659</c:v>
                </c:pt>
                <c:pt idx="20">
                  <c:v>0.72276346376243827</c:v>
                </c:pt>
                <c:pt idx="21">
                  <c:v>0.74098208782108022</c:v>
                </c:pt>
                <c:pt idx="22">
                  <c:v>0.75832912108410233</c:v>
                </c:pt>
                <c:pt idx="23">
                  <c:v>0.77486042691209267</c:v>
                </c:pt>
                <c:pt idx="24">
                  <c:v>0.79064746409495501</c:v>
                </c:pt>
                <c:pt idx="25">
                  <c:v>0.80577469459736373</c:v>
                </c:pt>
                <c:pt idx="26">
                  <c:v>0.82033513417552539</c:v>
                </c:pt>
                <c:pt idx="27">
                  <c:v>0.83442473495410463</c:v>
                </c:pt>
                <c:pt idx="28">
                  <c:v>0.84819057128755615</c:v>
                </c:pt>
                <c:pt idx="29">
                  <c:v>0.86155418113221671</c:v>
                </c:pt>
                <c:pt idx="30">
                  <c:v>0.87474908322310041</c:v>
                </c:pt>
                <c:pt idx="31">
                  <c:v>0.88777591437507031</c:v>
                </c:pt>
                <c:pt idx="32">
                  <c:v>0.90067271941649718</c:v>
                </c:pt>
                <c:pt idx="33">
                  <c:v>0.91346217164331955</c:v>
                </c:pt>
                <c:pt idx="34">
                  <c:v>0.92615481245558318</c:v>
                </c:pt>
                <c:pt idx="35">
                  <c:v>0.93875324380277991</c:v>
                </c:pt>
                <c:pt idx="36">
                  <c:v>0.9512557747132635</c:v>
                </c:pt>
                <c:pt idx="37">
                  <c:v>0.96365726211764446</c:v>
                </c:pt>
                <c:pt idx="38">
                  <c:v>0.975943992970008</c:v>
                </c:pt>
                <c:pt idx="39">
                  <c:v>0.98807842154268966</c:v>
                </c:pt>
                <c:pt idx="40">
                  <c:v>0.99996839492975043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C77-4E9A-BDD9-43FEE07B19C6}"/>
            </c:ext>
          </c:extLst>
        </c:ser>
        <c:ser>
          <c:idx val="2"/>
          <c:order val="1"/>
          <c:tx>
            <c:strRef>
              <c:f>'Líneas de Tendencia'!$E$137</c:f>
              <c:strCache>
                <c:ptCount val="1"/>
                <c:pt idx="0">
                  <c:v>Diagonal 45°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Tendencia'!$B$138:$B$178</c:f>
              <c:numCache>
                <c:formatCode>0.000</c:formatCode>
                <c:ptCount val="4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0.70009999999999994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</c:numCache>
            </c:numRef>
          </c:xVal>
          <c:yVal>
            <c:numRef>
              <c:f>'Líneas de Tendencia'!$E$138:$E$178</c:f>
              <c:numCache>
                <c:formatCode>0.000</c:formatCode>
                <c:ptCount val="41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  <c:pt idx="19">
                  <c:v>0.47499999999999998</c:v>
                </c:pt>
                <c:pt idx="20">
                  <c:v>0.5</c:v>
                </c:pt>
                <c:pt idx="21">
                  <c:v>0.52500000000000002</c:v>
                </c:pt>
                <c:pt idx="22">
                  <c:v>0.55000000000000004</c:v>
                </c:pt>
                <c:pt idx="23">
                  <c:v>0.57499999999999996</c:v>
                </c:pt>
                <c:pt idx="24">
                  <c:v>0.6</c:v>
                </c:pt>
                <c:pt idx="25">
                  <c:v>0.625</c:v>
                </c:pt>
                <c:pt idx="26">
                  <c:v>0.65</c:v>
                </c:pt>
                <c:pt idx="27">
                  <c:v>0.67500000000000004</c:v>
                </c:pt>
                <c:pt idx="28">
                  <c:v>0.70009999999999994</c:v>
                </c:pt>
                <c:pt idx="29">
                  <c:v>0.72499999999999998</c:v>
                </c:pt>
                <c:pt idx="30">
                  <c:v>0.75</c:v>
                </c:pt>
                <c:pt idx="31">
                  <c:v>0.77500000000000002</c:v>
                </c:pt>
                <c:pt idx="32">
                  <c:v>0.8</c:v>
                </c:pt>
                <c:pt idx="33">
                  <c:v>0.82499999999999996</c:v>
                </c:pt>
                <c:pt idx="34">
                  <c:v>0.85</c:v>
                </c:pt>
                <c:pt idx="35">
                  <c:v>0.875</c:v>
                </c:pt>
                <c:pt idx="36">
                  <c:v>0.9</c:v>
                </c:pt>
                <c:pt idx="37">
                  <c:v>0.92500000000000004</c:v>
                </c:pt>
                <c:pt idx="38">
                  <c:v>0.95</c:v>
                </c:pt>
                <c:pt idx="39">
                  <c:v>0.97499999999999998</c:v>
                </c:pt>
                <c:pt idx="4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C77-4E9A-BDD9-43FEE07B19C6}"/>
            </c:ext>
          </c:extLst>
        </c:ser>
        <c:ser>
          <c:idx val="3"/>
          <c:order val="2"/>
          <c:tx>
            <c:strRef>
              <c:f>'Líneas de Tendencia'!$F$137</c:f>
              <c:strCache>
                <c:ptCount val="1"/>
                <c:pt idx="0">
                  <c:v>Línea q</c:v>
                </c:pt>
              </c:strCache>
            </c:strRef>
          </c:tx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Tendencia'!$B$180:$B$181</c:f>
              <c:numCache>
                <c:formatCode>0.000</c:formatCode>
                <c:ptCount val="2"/>
                <c:pt idx="0">
                  <c:v>0.66891348307277509</c:v>
                </c:pt>
                <c:pt idx="1">
                  <c:v>0.61399999999999999</c:v>
                </c:pt>
              </c:numCache>
            </c:numRef>
          </c:xVal>
          <c:yVal>
            <c:numRef>
              <c:f>'Líneas de Tendencia'!$F$180:$F$181</c:f>
              <c:numCache>
                <c:formatCode>0.000</c:formatCode>
                <c:ptCount val="2"/>
                <c:pt idx="0">
                  <c:v>0.66891348307277509</c:v>
                </c:pt>
                <c:pt idx="1">
                  <c:v>0.79704494357591704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C77-4E9A-BDD9-43FEE07B19C6}"/>
            </c:ext>
          </c:extLst>
        </c:ser>
        <c:ser>
          <c:idx val="4"/>
          <c:order val="3"/>
          <c:tx>
            <c:strRef>
              <c:f>'Líneas de Tendencia'!$G$137</c:f>
              <c:strCache>
                <c:ptCount val="1"/>
                <c:pt idx="0">
                  <c:v>xD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Tendencia'!$B$183:$B$184</c:f>
              <c:numCache>
                <c:formatCode>0.000</c:formatCode>
                <c:ptCount val="2"/>
                <c:pt idx="0">
                  <c:v>0.9746107916224116</c:v>
                </c:pt>
                <c:pt idx="1">
                  <c:v>0.9746107916224116</c:v>
                </c:pt>
              </c:numCache>
            </c:numRef>
          </c:xVal>
          <c:yVal>
            <c:numRef>
              <c:f>'Líneas de Tendencia'!$G$183:$G$184</c:f>
              <c:numCache>
                <c:formatCode>0.000</c:formatCode>
                <c:ptCount val="2"/>
                <c:pt idx="0">
                  <c:v>0</c:v>
                </c:pt>
                <c:pt idx="1">
                  <c:v>0.9746107916224116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C77-4E9A-BDD9-43FEE07B19C6}"/>
            </c:ext>
          </c:extLst>
        </c:ser>
        <c:ser>
          <c:idx val="5"/>
          <c:order val="4"/>
          <c:tx>
            <c:strRef>
              <c:f>'Líneas de Tendencia'!$H$137</c:f>
              <c:strCache>
                <c:ptCount val="1"/>
                <c:pt idx="0">
                  <c:v>xW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Tendencia'!$B$186:$B$187</c:f>
              <c:numCache>
                <c:formatCode>0.000</c:formatCode>
                <c:ptCount val="2"/>
                <c:pt idx="0">
                  <c:v>1.0050517210906332E-2</c:v>
                </c:pt>
                <c:pt idx="1">
                  <c:v>1.0050517210906332E-2</c:v>
                </c:pt>
              </c:numCache>
            </c:numRef>
          </c:xVal>
          <c:yVal>
            <c:numRef>
              <c:f>'Líneas de Tendencia'!$H$186:$H$187</c:f>
              <c:numCache>
                <c:formatCode>0.000</c:formatCode>
                <c:ptCount val="2"/>
                <c:pt idx="0">
                  <c:v>0</c:v>
                </c:pt>
                <c:pt idx="1">
                  <c:v>1.0050517210906332E-2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C77-4E9A-BDD9-43FEE07B19C6}"/>
            </c:ext>
          </c:extLst>
        </c:ser>
        <c:ser>
          <c:idx val="0"/>
          <c:order val="5"/>
          <c:tx>
            <c:strRef>
              <c:f>'Líneas de Tendencia'!$I$137</c:f>
              <c:strCache>
                <c:ptCount val="1"/>
                <c:pt idx="0">
                  <c:v>xF</c:v>
                </c:pt>
              </c:strCache>
            </c:strRef>
          </c:tx>
          <c:spPr>
            <a:ln w="12700" cap="rnd">
              <a:solidFill>
                <a:srgbClr val="CC0000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Tendencia'!$B$189:$B$190</c:f>
              <c:numCache>
                <c:formatCode>0.000</c:formatCode>
                <c:ptCount val="2"/>
                <c:pt idx="0">
                  <c:v>0.66891348307277509</c:v>
                </c:pt>
                <c:pt idx="1">
                  <c:v>0.66891348307277509</c:v>
                </c:pt>
              </c:numCache>
            </c:numRef>
          </c:xVal>
          <c:yVal>
            <c:numRef>
              <c:f>'Líneas de Tendencia'!$I$189:$I$190</c:f>
              <c:numCache>
                <c:formatCode>0.000</c:formatCode>
                <c:ptCount val="2"/>
                <c:pt idx="0">
                  <c:v>0</c:v>
                </c:pt>
                <c:pt idx="1">
                  <c:v>0.66891348307277509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C77-4E9A-BDD9-43FEE07B19C6}"/>
            </c:ext>
          </c:extLst>
        </c:ser>
        <c:ser>
          <c:idx val="6"/>
          <c:order val="6"/>
          <c:tx>
            <c:strRef>
              <c:f>'Líneas de Tendencia'!$J$137</c:f>
              <c:strCache>
                <c:ptCount val="1"/>
                <c:pt idx="0">
                  <c:v>Enriquecimiento Rmin</c:v>
                </c:pt>
              </c:strCache>
            </c:strRef>
          </c:tx>
          <c:spPr>
            <a:ln w="12700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6">
                  <a:lumMod val="75000"/>
                  <a:alpha val="66000"/>
                </a:schemeClr>
              </a:solidFill>
              <a:ln w="9525">
                <a:solidFill>
                  <a:schemeClr val="accent6">
                    <a:lumMod val="75000"/>
                    <a:alpha val="49000"/>
                  </a:schemeClr>
                </a:solidFill>
              </a:ln>
              <a:effectLst/>
            </c:spPr>
          </c:marker>
          <c:xVal>
            <c:numRef>
              <c:f>'Líneas de Tendencia'!$B$192:$B$194</c:f>
              <c:numCache>
                <c:formatCode>0.000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xVal>
          <c:yVal>
            <c:numRef>
              <c:f>'Líneas de Tendencia'!$J$192:$J$194</c:f>
              <c:numCache>
                <c:formatCode>0.000</c:formatCode>
                <c:ptCount val="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AC77-4E9A-BDD9-43FEE07B19C6}"/>
            </c:ext>
          </c:extLst>
        </c:ser>
        <c:ser>
          <c:idx val="7"/>
          <c:order val="7"/>
          <c:tx>
            <c:strRef>
              <c:f>'Líneas de Tendencia'!$K$137</c:f>
              <c:strCache>
                <c:ptCount val="1"/>
                <c:pt idx="0">
                  <c:v>Enriquecimiento</c:v>
                </c:pt>
              </c:strCache>
            </c:strRef>
          </c:tx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Tendencia'!$B$196:$B$197</c:f>
              <c:numCache>
                <c:formatCode>0.000</c:formatCode>
                <c:ptCount val="2"/>
                <c:pt idx="0">
                  <c:v>0.9746107916224116</c:v>
                </c:pt>
                <c:pt idx="1">
                  <c:v>0</c:v>
                </c:pt>
              </c:numCache>
            </c:numRef>
          </c:xVal>
          <c:yVal>
            <c:numRef>
              <c:f>'Líneas de Tendencia'!$K$196:$K$197</c:f>
              <c:numCache>
                <c:formatCode>0.000</c:formatCode>
                <c:ptCount val="2"/>
                <c:pt idx="0">
                  <c:v>0.9746107916224116</c:v>
                </c:pt>
                <c:pt idx="1">
                  <c:v>0.3367220435297385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C77-4E9A-BDD9-43FEE07B19C6}"/>
            </c:ext>
          </c:extLst>
        </c:ser>
        <c:ser>
          <c:idx val="8"/>
          <c:order val="8"/>
          <c:tx>
            <c:strRef>
              <c:f>'Líneas de Tendencia'!$L$137</c:f>
              <c:strCache>
                <c:ptCount val="1"/>
                <c:pt idx="0">
                  <c:v>Agotamiento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Tendencia'!$B$199:$B$200</c:f>
              <c:numCache>
                <c:formatCode>0.000</c:formatCode>
                <c:ptCount val="2"/>
                <c:pt idx="0">
                  <c:v>0.63356468212072292</c:v>
                </c:pt>
                <c:pt idx="1">
                  <c:v>1.0050517210906332E-2</c:v>
                </c:pt>
              </c:numCache>
            </c:numRef>
          </c:xVal>
          <c:yVal>
            <c:numRef>
              <c:f>'Líneas de Tendencia'!$L$199:$L$200</c:f>
              <c:numCache>
                <c:formatCode>0.000</c:formatCode>
                <c:ptCount val="2"/>
                <c:pt idx="0">
                  <c:v>0.75139401862756339</c:v>
                </c:pt>
                <c:pt idx="1">
                  <c:v>1.0050517210906332E-2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C77-4E9A-BDD9-43FEE07B19C6}"/>
            </c:ext>
          </c:extLst>
        </c:ser>
        <c:ser>
          <c:idx val="9"/>
          <c:order val="9"/>
          <c:tx>
            <c:strRef>
              <c:f>'Líneas de Tendencia'!$N$137</c:f>
              <c:strCache>
                <c:ptCount val="1"/>
                <c:pt idx="0">
                  <c:v>Etapas reales</c:v>
                </c:pt>
              </c:strCache>
            </c:strRef>
          </c:tx>
          <c:spPr>
            <a:ln w="1270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Tendencia'!$B$301:$B$398</c:f>
              <c:numCache>
                <c:formatCode>0.000</c:formatCode>
                <c:ptCount val="98"/>
                <c:pt idx="0">
                  <c:v>0.9746107916224116</c:v>
                </c:pt>
                <c:pt idx="1">
                  <c:v>0.94728731473893246</c:v>
                </c:pt>
                <c:pt idx="2">
                  <c:v>0.94728731473893246</c:v>
                </c:pt>
                <c:pt idx="3">
                  <c:v>0.91103019605649127</c:v>
                </c:pt>
                <c:pt idx="4">
                  <c:v>0.91103019605649127</c:v>
                </c:pt>
                <c:pt idx="5">
                  <c:v>0.8635772635875294</c:v>
                </c:pt>
                <c:pt idx="6">
                  <c:v>0.8635772635875294</c:v>
                </c:pt>
                <c:pt idx="7">
                  <c:v>0.8024745904675239</c:v>
                </c:pt>
                <c:pt idx="8">
                  <c:v>0.8024745904675239</c:v>
                </c:pt>
                <c:pt idx="9">
                  <c:v>0.72574348745157446</c:v>
                </c:pt>
                <c:pt idx="10">
                  <c:v>0.72574348745157446</c:v>
                </c:pt>
                <c:pt idx="11">
                  <c:v>0.63521761421938039</c:v>
                </c:pt>
                <c:pt idx="12">
                  <c:v>0.63521761421938039</c:v>
                </c:pt>
                <c:pt idx="13">
                  <c:v>0.54156448229684706</c:v>
                </c:pt>
                <c:pt idx="14">
                  <c:v>0.54156448229684706</c:v>
                </c:pt>
                <c:pt idx="15">
                  <c:v>0.40167641747876415</c:v>
                </c:pt>
                <c:pt idx="16">
                  <c:v>0.40167641747876415</c:v>
                </c:pt>
                <c:pt idx="17">
                  <c:v>0.24373868956399486</c:v>
                </c:pt>
                <c:pt idx="18">
                  <c:v>0.24373868956399486</c:v>
                </c:pt>
                <c:pt idx="19">
                  <c:v>0.12241950387669244</c:v>
                </c:pt>
                <c:pt idx="20">
                  <c:v>0.12241950387669244</c:v>
                </c:pt>
                <c:pt idx="21">
                  <c:v>5.569284409542867E-2</c:v>
                </c:pt>
                <c:pt idx="22">
                  <c:v>5.569284409542867E-2</c:v>
                </c:pt>
                <c:pt idx="23">
                  <c:v>2.3890810073487374E-2</c:v>
                </c:pt>
                <c:pt idx="24">
                  <c:v>2.3890810073487374E-2</c:v>
                </c:pt>
                <c:pt idx="25">
                  <c:v>9.5923757189721771E-3</c:v>
                </c:pt>
                <c:pt idx="26">
                  <c:v>9.5923757189721771E-3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xVal>
          <c:yVal>
            <c:numRef>
              <c:f>'Líneas de Tendencia'!$N$301:$N$398</c:f>
              <c:numCache>
                <c:formatCode>0.000</c:formatCode>
                <c:ptCount val="98"/>
                <c:pt idx="0" formatCode="General">
                  <c:v>0.9746107916224116</c:v>
                </c:pt>
                <c:pt idx="1">
                  <c:v>0.9746107916224116</c:v>
                </c:pt>
                <c:pt idx="2" formatCode="General">
                  <c:v>0.95672740821176061</c:v>
                </c:pt>
                <c:pt idx="3">
                  <c:v>0.95672740821176061</c:v>
                </c:pt>
                <c:pt idx="4" formatCode="General">
                  <c:v>0.93299690138319447</c:v>
                </c:pt>
                <c:pt idx="5">
                  <c:v>0.93299690138319447</c:v>
                </c:pt>
                <c:pt idx="6" formatCode="General">
                  <c:v>0.90193866567911107</c:v>
                </c:pt>
                <c:pt idx="7">
                  <c:v>0.90193866567911107</c:v>
                </c:pt>
                <c:pt idx="8" formatCode="General">
                  <c:v>0.86194659089738968</c:v>
                </c:pt>
                <c:pt idx="9">
                  <c:v>0.86194659089738968</c:v>
                </c:pt>
                <c:pt idx="10" formatCode="General">
                  <c:v>0.81172561277633393</c:v>
                </c:pt>
                <c:pt idx="11">
                  <c:v>0.81172561277633393</c:v>
                </c:pt>
                <c:pt idx="12" formatCode="General">
                  <c:v>0.752475872836606</c:v>
                </c:pt>
                <c:pt idx="13">
                  <c:v>0.752475872836606</c:v>
                </c:pt>
                <c:pt idx="14" formatCode="General">
                  <c:v>0.64200797079282168</c:v>
                </c:pt>
                <c:pt idx="15">
                  <c:v>0.64200797079282168</c:v>
                </c:pt>
                <c:pt idx="16" formatCode="General">
                  <c:v>0.47568439128980028</c:v>
                </c:pt>
                <c:pt idx="17">
                  <c:v>0.47568439128980028</c:v>
                </c:pt>
                <c:pt idx="18" formatCode="General">
                  <c:v>0.28790019197644323</c:v>
                </c:pt>
                <c:pt idx="19">
                  <c:v>0.28790019197644323</c:v>
                </c:pt>
                <c:pt idx="20" formatCode="General">
                  <c:v>0.14365456779010113</c:v>
                </c:pt>
                <c:pt idx="21">
                  <c:v>0.14365456779010113</c:v>
                </c:pt>
                <c:pt idx="22" formatCode="General">
                  <c:v>6.4318157514265714E-2</c:v>
                </c:pt>
                <c:pt idx="23">
                  <c:v>6.4318157514265714E-2</c:v>
                </c:pt>
                <c:pt idx="24" formatCode="General">
                  <c:v>2.6506296002815344E-2</c:v>
                </c:pt>
                <c:pt idx="25">
                  <c:v>2.6506296002815344E-2</c:v>
                </c:pt>
                <c:pt idx="26" formatCode="General">
                  <c:v>9.5057978815165645E-3</c:v>
                </c:pt>
                <c:pt idx="27">
                  <c:v>#N/A</c:v>
                </c:pt>
                <c:pt idx="28" formatCode="General">
                  <c:v>#N/A</c:v>
                </c:pt>
                <c:pt idx="29">
                  <c:v>#N/A</c:v>
                </c:pt>
                <c:pt idx="30" formatCode="General">
                  <c:v>#N/A</c:v>
                </c:pt>
                <c:pt idx="31">
                  <c:v>#N/A</c:v>
                </c:pt>
                <c:pt idx="32" formatCode="General">
                  <c:v>#N/A</c:v>
                </c:pt>
                <c:pt idx="33">
                  <c:v>#N/A</c:v>
                </c:pt>
                <c:pt idx="34" formatCode="General">
                  <c:v>#N/A</c:v>
                </c:pt>
                <c:pt idx="35">
                  <c:v>#N/A</c:v>
                </c:pt>
                <c:pt idx="36" formatCode="General">
                  <c:v>#N/A</c:v>
                </c:pt>
                <c:pt idx="37">
                  <c:v>#N/A</c:v>
                </c:pt>
                <c:pt idx="38" formatCode="General">
                  <c:v>#N/A</c:v>
                </c:pt>
                <c:pt idx="39">
                  <c:v>#N/A</c:v>
                </c:pt>
                <c:pt idx="40" formatCode="General">
                  <c:v>#N/A</c:v>
                </c:pt>
                <c:pt idx="41">
                  <c:v>#N/A</c:v>
                </c:pt>
                <c:pt idx="42" formatCode="General">
                  <c:v>#N/A</c:v>
                </c:pt>
                <c:pt idx="43">
                  <c:v>#N/A</c:v>
                </c:pt>
                <c:pt idx="44" formatCode="General">
                  <c:v>#N/A</c:v>
                </c:pt>
                <c:pt idx="45">
                  <c:v>#N/A</c:v>
                </c:pt>
                <c:pt idx="46" formatCode="General">
                  <c:v>#N/A</c:v>
                </c:pt>
                <c:pt idx="47">
                  <c:v>#N/A</c:v>
                </c:pt>
                <c:pt idx="48" formatCode="General">
                  <c:v>#N/A</c:v>
                </c:pt>
                <c:pt idx="49">
                  <c:v>#N/A</c:v>
                </c:pt>
                <c:pt idx="50" formatCode="General">
                  <c:v>#N/A</c:v>
                </c:pt>
                <c:pt idx="51">
                  <c:v>#N/A</c:v>
                </c:pt>
                <c:pt idx="52" formatCode="General">
                  <c:v>#N/A</c:v>
                </c:pt>
                <c:pt idx="53">
                  <c:v>#N/A</c:v>
                </c:pt>
                <c:pt idx="54" formatCode="General">
                  <c:v>#N/A</c:v>
                </c:pt>
                <c:pt idx="55">
                  <c:v>#N/A</c:v>
                </c:pt>
                <c:pt idx="56" formatCode="General">
                  <c:v>#N/A</c:v>
                </c:pt>
                <c:pt idx="57">
                  <c:v>#N/A</c:v>
                </c:pt>
                <c:pt idx="58" formatCode="General">
                  <c:v>#N/A</c:v>
                </c:pt>
                <c:pt idx="59">
                  <c:v>#N/A</c:v>
                </c:pt>
                <c:pt idx="60" formatCode="General">
                  <c:v>#N/A</c:v>
                </c:pt>
                <c:pt idx="61">
                  <c:v>#N/A</c:v>
                </c:pt>
                <c:pt idx="62" formatCode="General">
                  <c:v>#N/A</c:v>
                </c:pt>
                <c:pt idx="63">
                  <c:v>#N/A</c:v>
                </c:pt>
                <c:pt idx="64" formatCode="General">
                  <c:v>#N/A</c:v>
                </c:pt>
                <c:pt idx="65">
                  <c:v>#N/A</c:v>
                </c:pt>
                <c:pt idx="66" formatCode="General">
                  <c:v>#N/A</c:v>
                </c:pt>
                <c:pt idx="67">
                  <c:v>#N/A</c:v>
                </c:pt>
                <c:pt idx="68" formatCode="General">
                  <c:v>#N/A</c:v>
                </c:pt>
                <c:pt idx="69">
                  <c:v>#N/A</c:v>
                </c:pt>
                <c:pt idx="70" formatCode="General">
                  <c:v>#N/A</c:v>
                </c:pt>
                <c:pt idx="71">
                  <c:v>#N/A</c:v>
                </c:pt>
                <c:pt idx="72" formatCode="General">
                  <c:v>#N/A</c:v>
                </c:pt>
                <c:pt idx="73">
                  <c:v>#N/A</c:v>
                </c:pt>
                <c:pt idx="74" formatCode="General">
                  <c:v>#N/A</c:v>
                </c:pt>
                <c:pt idx="75">
                  <c:v>#N/A</c:v>
                </c:pt>
                <c:pt idx="76" formatCode="General">
                  <c:v>#N/A</c:v>
                </c:pt>
                <c:pt idx="77">
                  <c:v>#N/A</c:v>
                </c:pt>
                <c:pt idx="78" formatCode="General">
                  <c:v>#N/A</c:v>
                </c:pt>
                <c:pt idx="79">
                  <c:v>#N/A</c:v>
                </c:pt>
                <c:pt idx="80" formatCode="General">
                  <c:v>#N/A</c:v>
                </c:pt>
                <c:pt idx="81">
                  <c:v>#N/A</c:v>
                </c:pt>
                <c:pt idx="82" formatCode="General">
                  <c:v>#N/A</c:v>
                </c:pt>
                <c:pt idx="83">
                  <c:v>#N/A</c:v>
                </c:pt>
                <c:pt idx="84" formatCode="General">
                  <c:v>#N/A</c:v>
                </c:pt>
                <c:pt idx="85">
                  <c:v>#N/A</c:v>
                </c:pt>
                <c:pt idx="86" formatCode="General">
                  <c:v>#N/A</c:v>
                </c:pt>
                <c:pt idx="87">
                  <c:v>#N/A</c:v>
                </c:pt>
                <c:pt idx="88" formatCode="General">
                  <c:v>#N/A</c:v>
                </c:pt>
                <c:pt idx="89">
                  <c:v>#N/A</c:v>
                </c:pt>
                <c:pt idx="90" formatCode="General">
                  <c:v>#N/A</c:v>
                </c:pt>
                <c:pt idx="91">
                  <c:v>#N/A</c:v>
                </c:pt>
                <c:pt idx="92" formatCode="General">
                  <c:v>#N/A</c:v>
                </c:pt>
                <c:pt idx="93">
                  <c:v>#N/A</c:v>
                </c:pt>
                <c:pt idx="94" formatCode="General">
                  <c:v>#N/A</c:v>
                </c:pt>
                <c:pt idx="95">
                  <c:v>#N/A</c:v>
                </c:pt>
                <c:pt idx="96" formatCode="General">
                  <c:v>#N/A</c:v>
                </c:pt>
                <c:pt idx="97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47-AC77-4E9A-BDD9-43FEE07B19C6}"/>
            </c:ext>
          </c:extLst>
        </c:ser>
        <c:ser>
          <c:idx val="10"/>
          <c:order val="10"/>
          <c:tx>
            <c:strRef>
              <c:f>'Líneas de Tendencia'!$M$137</c:f>
              <c:strCache>
                <c:ptCount val="1"/>
                <c:pt idx="0">
                  <c:v> Etapas min.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'Líneas de Tendencia'!$B$202:$B$299</c:f>
              <c:numCache>
                <c:formatCode>0.000</c:formatCode>
                <c:ptCount val="98"/>
                <c:pt idx="0">
                  <c:v>0.9746107916224116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xVal>
          <c:yVal>
            <c:numRef>
              <c:f>'Líneas de Tendencia'!$M$202:$M$299</c:f>
              <c:numCache>
                <c:formatCode>0.000</c:formatCode>
                <c:ptCount val="98"/>
                <c:pt idx="0">
                  <c:v>0.9746107916224116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  <c:extLst xmlns:c15="http://schemas.microsoft.com/office/drawing/2012/chart" xmlns:c16r2="http://schemas.microsoft.com/office/drawing/2015/06/chart"/>
            </c:numRef>
          </c:yVal>
          <c:smooth val="0"/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48-AC77-4E9A-BDD9-43FEE07B19C6}"/>
            </c:ext>
          </c:extLst>
        </c:ser>
        <c:ser>
          <c:idx val="11"/>
          <c:order val="11"/>
          <c:tx>
            <c:v>Pseudoequilibrio</c:v>
          </c:tx>
          <c:spPr>
            <a:ln w="12700" cap="rnd">
              <a:solidFill>
                <a:srgbClr val="AE78D6"/>
              </a:solidFill>
              <a:round/>
            </a:ln>
            <a:effectLst/>
          </c:spPr>
          <c:marker>
            <c:symbol val="none"/>
          </c:marker>
          <c:xVal>
            <c:numRef>
              <c:f>'Líneas de Tendencia'!$B$401:$B$421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xVal>
          <c:yVal>
            <c:numRef>
              <c:f>'Líneas de Tendencia'!$O$401:$O$421</c:f>
              <c:numCache>
                <c:formatCode>0.000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A8F-4E8E-B650-0F080171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713408"/>
        <c:axId val="253719296"/>
        <c:extLst xmlns:c16r2="http://schemas.microsoft.com/office/drawing/2015/06/chart"/>
      </c:scatterChart>
      <c:valAx>
        <c:axId val="25371340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3719296"/>
        <c:crosses val="autoZero"/>
        <c:crossBetween val="midCat"/>
      </c:valAx>
      <c:valAx>
        <c:axId val="25371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25371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3</xdr:row>
      <xdr:rowOff>95250</xdr:rowOff>
    </xdr:from>
    <xdr:to>
      <xdr:col>12</xdr:col>
      <xdr:colOff>390525</xdr:colOff>
      <xdr:row>20</xdr:row>
      <xdr:rowOff>95250</xdr:rowOff>
    </xdr:to>
    <xdr:graphicFrame macro="">
      <xdr:nvGraphicFramePr>
        <xdr:cNvPr id="2" name="Chart 1" title="Gráfico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9</xdr:row>
      <xdr:rowOff>76200</xdr:rowOff>
    </xdr:from>
    <xdr:to>
      <xdr:col>5</xdr:col>
      <xdr:colOff>9526</xdr:colOff>
      <xdr:row>23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EE685376-D8FE-4143-B180-45BBEED82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857250</xdr:colOff>
      <xdr:row>4</xdr:row>
      <xdr:rowOff>200025</xdr:rowOff>
    </xdr:from>
    <xdr:to>
      <xdr:col>13</xdr:col>
      <xdr:colOff>371475</xdr:colOff>
      <xdr:row>30</xdr:row>
      <xdr:rowOff>76200</xdr:rowOff>
    </xdr:to>
    <xdr:graphicFrame macro="">
      <xdr:nvGraphicFramePr>
        <xdr:cNvPr id="3" name="Chart 3" title="Gráfico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857250</xdr:colOff>
      <xdr:row>56</xdr:row>
      <xdr:rowOff>104775</xdr:rowOff>
    </xdr:to>
    <xdr:sp macro="" textlink="">
      <xdr:nvSpPr>
        <xdr:cNvPr id="1028" name="Rectangle 4" hidden="1">
          <a:extLst>
            <a:ext uri="{FF2B5EF4-FFF2-40B4-BE49-F238E27FC236}">
              <a16:creationId xmlns="" xmlns:a16="http://schemas.microsoft.com/office/drawing/2014/main" id="{00000000-0008-0000-0400-000004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6</xdr:row>
      <xdr:rowOff>133350</xdr:rowOff>
    </xdr:from>
    <xdr:to>
      <xdr:col>17</xdr:col>
      <xdr:colOff>390525</xdr:colOff>
      <xdr:row>22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F15DD310-0AAF-4B58-83BB-8709122D2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466725</xdr:colOff>
      <xdr:row>76</xdr:row>
      <xdr:rowOff>19049</xdr:rowOff>
    </xdr:from>
    <xdr:to>
      <xdr:col>6</xdr:col>
      <xdr:colOff>466725</xdr:colOff>
      <xdr:row>106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7E1666E8-4234-42D7-BA52-F5039A12B6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25</xdr:row>
      <xdr:rowOff>0</xdr:rowOff>
    </xdr:from>
    <xdr:to>
      <xdr:col>4</xdr:col>
      <xdr:colOff>438150</xdr:colOff>
      <xdr:row>44</xdr:row>
      <xdr:rowOff>65264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C0AF48E3-99B8-4F32-ABE3-A3E3B1FC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14875"/>
          <a:ext cx="3486150" cy="3141839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304799</xdr:colOff>
      <xdr:row>44</xdr:row>
      <xdr:rowOff>89253</xdr:rowOff>
    </xdr:from>
    <xdr:to>
      <xdr:col>6</xdr:col>
      <xdr:colOff>425362</xdr:colOff>
      <xdr:row>63</xdr:row>
      <xdr:rowOff>57150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70F3CDCF-054D-4E1D-9A34-979610544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9" y="7880703"/>
          <a:ext cx="3378113" cy="304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chrome.google.com/webstore/detail/solver/iennicjichkeiajiflbcmaaohildohpb?utm_source=permalink" TargetMode="External"/><Relationship Id="rId1" Type="http://schemas.openxmlformats.org/officeDocument/2006/relationships/hyperlink" Target="http://bit.ly/ManualEq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vle-calc.com/phase_diagram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bit.ly/SDestDeta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C232"/>
    <outlinePr summaryBelow="0" summaryRight="0"/>
  </sheetPr>
  <dimension ref="A1:M52"/>
  <sheetViews>
    <sheetView showGridLines="0" workbookViewId="0"/>
  </sheetViews>
  <sheetFormatPr baseColWidth="10" defaultColWidth="14.42578125" defaultRowHeight="15.75" customHeight="1"/>
  <cols>
    <col min="1" max="1" width="34.85546875" customWidth="1"/>
  </cols>
  <sheetData>
    <row r="1" spans="1:11" ht="15.75" customHeight="1">
      <c r="A1" s="1" t="s">
        <v>0</v>
      </c>
      <c r="B1" s="3"/>
      <c r="C1" s="3"/>
      <c r="D1" s="3"/>
    </row>
    <row r="2" spans="1:11" ht="15.75" customHeight="1">
      <c r="A2" s="4"/>
      <c r="B2" s="3"/>
      <c r="C2" s="3"/>
      <c r="D2" s="3"/>
    </row>
    <row r="3" spans="1:11" ht="15.75" customHeight="1">
      <c r="A3" s="4"/>
      <c r="B3" s="4"/>
      <c r="C3" s="4"/>
      <c r="D3" s="403" t="s">
        <v>1</v>
      </c>
      <c r="E3" s="404"/>
      <c r="F3" s="405" t="s">
        <v>13</v>
      </c>
      <c r="G3" s="406"/>
      <c r="H3" s="404"/>
      <c r="I3" s="405" t="s">
        <v>14</v>
      </c>
      <c r="J3" s="406"/>
      <c r="K3" s="404"/>
    </row>
    <row r="4" spans="1:11" ht="15.75" customHeight="1">
      <c r="A4" s="17" t="s">
        <v>5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19</v>
      </c>
      <c r="J4" s="18" t="s">
        <v>20</v>
      </c>
      <c r="K4" s="18" t="s">
        <v>21</v>
      </c>
    </row>
    <row r="5" spans="1:11" ht="15.75" customHeight="1">
      <c r="A5" s="20" t="s">
        <v>12</v>
      </c>
      <c r="B5" s="21" t="s">
        <v>23</v>
      </c>
      <c r="C5" s="22" t="s">
        <v>24</v>
      </c>
      <c r="D5" s="21">
        <v>2.9095</v>
      </c>
      <c r="E5" s="23">
        <v>1.1572</v>
      </c>
      <c r="F5" s="24">
        <v>8.3789499999999997</v>
      </c>
      <c r="G5" s="25">
        <v>1788.02</v>
      </c>
      <c r="H5" s="26">
        <v>227.43799999999999</v>
      </c>
      <c r="I5" s="24">
        <v>8.0713100000000004</v>
      </c>
      <c r="J5" s="25">
        <v>1730.63</v>
      </c>
      <c r="K5" s="25">
        <v>233.42599999999999</v>
      </c>
    </row>
    <row r="6" spans="1:11" ht="15.75" customHeight="1">
      <c r="A6" s="20" t="s">
        <v>22</v>
      </c>
      <c r="B6" s="21" t="s">
        <v>26</v>
      </c>
      <c r="C6" s="22" t="s">
        <v>24</v>
      </c>
      <c r="D6" s="21">
        <v>2.4702000000000002</v>
      </c>
      <c r="E6" s="23">
        <v>1.0938000000000001</v>
      </c>
      <c r="F6" s="24">
        <v>8.8782899999999998</v>
      </c>
      <c r="G6" s="25">
        <v>2010.32</v>
      </c>
      <c r="H6" s="26">
        <v>252.636</v>
      </c>
      <c r="I6" s="24">
        <v>8.0713100000000004</v>
      </c>
      <c r="J6" s="25">
        <v>1730.63</v>
      </c>
      <c r="K6" s="25">
        <v>233.42599999999999</v>
      </c>
    </row>
    <row r="7" spans="1:11" ht="15.75" customHeight="1">
      <c r="A7" s="20" t="s">
        <v>25</v>
      </c>
      <c r="B7" s="27" t="s">
        <v>27</v>
      </c>
      <c r="C7" s="22" t="s">
        <v>29</v>
      </c>
      <c r="D7" s="21">
        <v>0.85519999999999996</v>
      </c>
      <c r="E7" s="23">
        <v>0.75260000000000005</v>
      </c>
      <c r="F7" s="24">
        <v>7.1017900000000003</v>
      </c>
      <c r="G7" s="25">
        <v>1244.951</v>
      </c>
      <c r="H7" s="26">
        <v>217.881</v>
      </c>
      <c r="I7" s="24">
        <v>7.5867000000000004</v>
      </c>
      <c r="J7" s="25">
        <v>1281.5899999999999</v>
      </c>
      <c r="K7" s="25">
        <v>193.768</v>
      </c>
    </row>
    <row r="8" spans="1:11" ht="15.75" customHeight="1">
      <c r="A8" s="20" t="s">
        <v>28</v>
      </c>
      <c r="B8" s="27" t="s">
        <v>30</v>
      </c>
      <c r="C8" s="22" t="s">
        <v>31</v>
      </c>
      <c r="D8" s="21">
        <v>0.96140000000000003</v>
      </c>
      <c r="E8" s="23">
        <v>1.0125999999999999</v>
      </c>
      <c r="F8" s="24">
        <v>7.0652400000000002</v>
      </c>
      <c r="G8" s="25">
        <v>1157.6300000000001</v>
      </c>
      <c r="H8" s="26">
        <v>219.726</v>
      </c>
      <c r="I8" s="24">
        <v>8.0809700000000007</v>
      </c>
      <c r="J8" s="25">
        <v>1582.271</v>
      </c>
      <c r="K8" s="25">
        <v>239.726</v>
      </c>
    </row>
    <row r="9" spans="1:11" ht="15.75" customHeight="1">
      <c r="A9" s="20" t="s">
        <v>32</v>
      </c>
      <c r="B9" s="27" t="s">
        <v>33</v>
      </c>
      <c r="C9" s="22" t="s">
        <v>24</v>
      </c>
      <c r="D9" s="21">
        <v>2.1040999999999999</v>
      </c>
      <c r="E9" s="23">
        <v>1.5555000000000001</v>
      </c>
      <c r="F9" s="24">
        <v>7.11714</v>
      </c>
      <c r="G9" s="25">
        <v>1210.595</v>
      </c>
      <c r="H9" s="26">
        <v>229.66399999999999</v>
      </c>
      <c r="I9" s="24">
        <v>8.0713100000000004</v>
      </c>
      <c r="J9" s="25">
        <v>1730.63</v>
      </c>
      <c r="K9" s="25">
        <v>233.42599999999999</v>
      </c>
    </row>
    <row r="10" spans="1:11" ht="15.75" customHeight="1">
      <c r="A10" s="20" t="s">
        <v>35</v>
      </c>
      <c r="B10" s="27" t="s">
        <v>33</v>
      </c>
      <c r="C10" s="22" t="s">
        <v>37</v>
      </c>
      <c r="D10" s="21">
        <v>-0.86429999999999996</v>
      </c>
      <c r="E10" s="23">
        <v>-0.58989999999999998</v>
      </c>
      <c r="F10" s="24">
        <v>7.11714</v>
      </c>
      <c r="G10" s="25">
        <v>1210.595</v>
      </c>
      <c r="H10" s="26">
        <v>229.66399999999999</v>
      </c>
      <c r="I10" s="24">
        <v>6.95465</v>
      </c>
      <c r="J10" s="25">
        <v>1170.9659999999999</v>
      </c>
      <c r="K10" s="25">
        <v>226.232</v>
      </c>
    </row>
    <row r="11" spans="1:11" ht="15.75" customHeight="1">
      <c r="A11" s="20" t="s">
        <v>38</v>
      </c>
      <c r="B11" s="27" t="s">
        <v>33</v>
      </c>
      <c r="C11" s="22" t="s">
        <v>31</v>
      </c>
      <c r="D11" s="21">
        <v>0.61839999999999995</v>
      </c>
      <c r="E11" s="23">
        <v>0.57969999999999999</v>
      </c>
      <c r="F11" s="24">
        <v>7.11714</v>
      </c>
      <c r="G11" s="25">
        <v>1210.595</v>
      </c>
      <c r="H11" s="26">
        <v>229.66399999999999</v>
      </c>
      <c r="I11" s="24">
        <v>8.0809700000000007</v>
      </c>
      <c r="J11" s="25">
        <v>1582.271</v>
      </c>
      <c r="K11" s="25">
        <v>239.726</v>
      </c>
    </row>
    <row r="12" spans="1:11" ht="15.75" customHeight="1">
      <c r="A12" s="20" t="s">
        <v>39</v>
      </c>
      <c r="B12" s="22" t="s">
        <v>24</v>
      </c>
      <c r="C12" s="21" t="s">
        <v>40</v>
      </c>
      <c r="D12" s="21">
        <v>1.0995999999999999</v>
      </c>
      <c r="E12" s="23">
        <v>4.1760000000000002</v>
      </c>
      <c r="F12" s="24">
        <v>8.0713100000000004</v>
      </c>
      <c r="G12" s="25">
        <v>1730.63</v>
      </c>
      <c r="H12" s="26">
        <v>233.42599999999999</v>
      </c>
      <c r="I12" s="24">
        <v>7.3636600000000003</v>
      </c>
      <c r="J12" s="25">
        <v>1305.1980000000001</v>
      </c>
      <c r="K12" s="25">
        <v>173.42699999999999</v>
      </c>
    </row>
    <row r="13" spans="1:11" ht="15.75" customHeight="1">
      <c r="A13" s="20" t="s">
        <v>41</v>
      </c>
      <c r="B13" s="22" t="s">
        <v>24</v>
      </c>
      <c r="C13" s="22" t="s">
        <v>42</v>
      </c>
      <c r="D13" s="21">
        <v>0.49730000000000002</v>
      </c>
      <c r="E13" s="23">
        <v>1.0623</v>
      </c>
      <c r="F13" s="24">
        <v>8.0713100000000004</v>
      </c>
      <c r="G13" s="25">
        <v>1730.63</v>
      </c>
      <c r="H13" s="26">
        <v>233.42599999999999</v>
      </c>
      <c r="I13" s="24">
        <v>8.0210000000000008</v>
      </c>
      <c r="J13" s="25">
        <v>1936.01</v>
      </c>
      <c r="K13" s="25">
        <v>258.45100000000002</v>
      </c>
    </row>
    <row r="14" spans="1:11" ht="15.75" customHeight="1">
      <c r="A14" s="20" t="s">
        <v>44</v>
      </c>
      <c r="B14" s="22" t="s">
        <v>24</v>
      </c>
      <c r="C14" s="22" t="s">
        <v>45</v>
      </c>
      <c r="D14" s="21">
        <v>-0.29349999999999998</v>
      </c>
      <c r="E14" s="23">
        <v>-0.2757</v>
      </c>
      <c r="F14" s="24">
        <v>8.0713100000000004</v>
      </c>
      <c r="G14" s="25">
        <v>1730.63</v>
      </c>
      <c r="H14" s="26">
        <v>233.42599999999999</v>
      </c>
      <c r="I14" s="24">
        <v>6.9445899999999998</v>
      </c>
      <c r="J14" s="25">
        <v>1295.26</v>
      </c>
      <c r="K14" s="25">
        <v>218</v>
      </c>
    </row>
    <row r="15" spans="1:11" ht="15.75" customHeight="1">
      <c r="A15" s="20" t="s">
        <v>46</v>
      </c>
      <c r="B15" s="22" t="s">
        <v>37</v>
      </c>
      <c r="C15" s="22" t="s">
        <v>31</v>
      </c>
      <c r="D15" s="21">
        <v>0.93559999999999999</v>
      </c>
      <c r="E15" s="23">
        <v>1.8859999999999999</v>
      </c>
      <c r="F15" s="24">
        <v>6.95465</v>
      </c>
      <c r="G15" s="25">
        <v>1170.9659999999999</v>
      </c>
      <c r="H15" s="26">
        <v>226.232</v>
      </c>
      <c r="I15" s="24">
        <v>8.0809700000000007</v>
      </c>
      <c r="J15" s="25">
        <v>1582.271</v>
      </c>
      <c r="K15" s="25">
        <v>239.726</v>
      </c>
    </row>
    <row r="16" spans="1:11" ht="15.75" customHeight="1">
      <c r="A16" s="20" t="s">
        <v>47</v>
      </c>
      <c r="B16" s="22" t="s">
        <v>29</v>
      </c>
      <c r="C16" s="22" t="s">
        <v>24</v>
      </c>
      <c r="D16" s="21">
        <v>1.6798</v>
      </c>
      <c r="E16" s="23">
        <v>0.92269999999999996</v>
      </c>
      <c r="F16" s="24">
        <v>7.5867000000000004</v>
      </c>
      <c r="G16" s="25">
        <v>1281.5899999999999</v>
      </c>
      <c r="H16" s="26">
        <v>193.768</v>
      </c>
      <c r="I16" s="24">
        <v>8.0713100000000004</v>
      </c>
      <c r="J16" s="25">
        <v>1730.63</v>
      </c>
      <c r="K16" s="25">
        <v>233.42599999999999</v>
      </c>
    </row>
    <row r="17" spans="1:13" ht="15.75" customHeight="1">
      <c r="A17" s="20" t="s">
        <v>48</v>
      </c>
      <c r="B17" s="22" t="s">
        <v>29</v>
      </c>
      <c r="C17" s="22" t="s">
        <v>49</v>
      </c>
      <c r="D17" s="21">
        <v>1.857</v>
      </c>
      <c r="E17" s="23">
        <v>1.4784999999999999</v>
      </c>
      <c r="F17" s="24">
        <v>7.5867000000000004</v>
      </c>
      <c r="G17" s="25">
        <v>1281.5899999999999</v>
      </c>
      <c r="H17" s="26">
        <v>193.768</v>
      </c>
      <c r="I17" s="24">
        <v>6.8798700000000004</v>
      </c>
      <c r="J17" s="25">
        <v>1196.76</v>
      </c>
      <c r="K17" s="25">
        <v>219.161</v>
      </c>
    </row>
    <row r="18" spans="1:13" ht="15.75" customHeight="1">
      <c r="A18" s="20" t="s">
        <v>51</v>
      </c>
      <c r="B18" s="22" t="s">
        <v>31</v>
      </c>
      <c r="C18" s="27" t="s">
        <v>27</v>
      </c>
      <c r="D18" s="21">
        <v>1.0017</v>
      </c>
      <c r="E18" s="23">
        <v>1.0524</v>
      </c>
      <c r="F18" s="24">
        <v>8.0809700000000007</v>
      </c>
      <c r="G18" s="25">
        <v>1582.271</v>
      </c>
      <c r="H18" s="26">
        <v>239.726</v>
      </c>
      <c r="I18" s="24">
        <v>7.1017900000000003</v>
      </c>
      <c r="J18" s="25">
        <v>1244.951</v>
      </c>
      <c r="K18" s="25">
        <v>217.881</v>
      </c>
    </row>
    <row r="19" spans="1:13" ht="15.75" customHeight="1">
      <c r="A19" s="20" t="s">
        <v>52</v>
      </c>
      <c r="B19" s="22" t="s">
        <v>31</v>
      </c>
      <c r="C19" s="22" t="s">
        <v>24</v>
      </c>
      <c r="D19" s="21">
        <v>0.81410000000000005</v>
      </c>
      <c r="E19" s="23">
        <v>0.56189999999999996</v>
      </c>
      <c r="F19" s="24">
        <v>8.0809700000000007</v>
      </c>
      <c r="G19" s="25">
        <v>1582.271</v>
      </c>
      <c r="H19" s="26">
        <v>239.726</v>
      </c>
      <c r="I19" s="24">
        <v>8.0713100000000004</v>
      </c>
      <c r="J19" s="25">
        <v>1730.63</v>
      </c>
      <c r="K19" s="25">
        <v>233.42599999999999</v>
      </c>
    </row>
    <row r="20" spans="1:13" ht="15.75" customHeight="1">
      <c r="A20" s="20" t="s">
        <v>54</v>
      </c>
      <c r="B20" s="22" t="s">
        <v>31</v>
      </c>
      <c r="C20" s="22" t="s">
        <v>49</v>
      </c>
      <c r="D20" s="21">
        <v>2.1623000000000001</v>
      </c>
      <c r="E20" s="23">
        <v>1.7925</v>
      </c>
      <c r="F20" s="24">
        <v>8.0809700000000007</v>
      </c>
      <c r="G20" s="25">
        <v>1582.271</v>
      </c>
      <c r="H20" s="26">
        <v>239.726</v>
      </c>
      <c r="I20" s="24">
        <v>6.8798700000000004</v>
      </c>
      <c r="J20" s="25">
        <v>1196.76</v>
      </c>
      <c r="K20" s="25">
        <v>219.161</v>
      </c>
    </row>
    <row r="21" spans="1:13" ht="15.75" customHeight="1">
      <c r="A21" s="20" t="s">
        <v>55</v>
      </c>
      <c r="B21" s="22" t="s">
        <v>56</v>
      </c>
      <c r="C21" s="22" t="s">
        <v>29</v>
      </c>
      <c r="D21" s="21">
        <v>1.9195</v>
      </c>
      <c r="E21" s="23">
        <v>2.8462999999999998</v>
      </c>
      <c r="F21" s="24">
        <v>6.9105800000000004</v>
      </c>
      <c r="G21" s="25">
        <v>1189.6400000000001</v>
      </c>
      <c r="H21" s="26">
        <v>226.28</v>
      </c>
      <c r="I21" s="24">
        <v>7.5867000000000004</v>
      </c>
      <c r="J21" s="25">
        <v>1281.5899999999999</v>
      </c>
      <c r="K21" s="25">
        <v>193.768</v>
      </c>
    </row>
    <row r="22" spans="1:13" ht="15.75" customHeight="1">
      <c r="A22" s="20" t="s">
        <v>57</v>
      </c>
      <c r="B22" s="22" t="s">
        <v>58</v>
      </c>
      <c r="C22" s="22" t="s">
        <v>49</v>
      </c>
      <c r="D22" s="21">
        <v>9.5100000000000004E-2</v>
      </c>
      <c r="E22" s="23">
        <v>9.11E-2</v>
      </c>
      <c r="F22" s="24">
        <v>6.8408300000000004</v>
      </c>
      <c r="G22" s="25">
        <v>1177.9100000000001</v>
      </c>
      <c r="H22" s="26">
        <v>220.57599999999999</v>
      </c>
      <c r="I22" s="24">
        <v>6.8798700000000004</v>
      </c>
      <c r="J22" s="25">
        <v>1196.76</v>
      </c>
      <c r="K22" s="25">
        <v>219.161</v>
      </c>
    </row>
    <row r="23" spans="1:13" ht="15.75" customHeight="1">
      <c r="A23" s="20" t="s">
        <v>59</v>
      </c>
      <c r="B23" s="22" t="s">
        <v>60</v>
      </c>
      <c r="C23" s="22" t="s">
        <v>24</v>
      </c>
      <c r="D23" s="21">
        <v>3.0215999999999998</v>
      </c>
      <c r="E23" s="23">
        <v>1.9436</v>
      </c>
      <c r="F23" s="24">
        <v>6.9951499999999998</v>
      </c>
      <c r="G23" s="25">
        <v>1202.29</v>
      </c>
      <c r="H23" s="26">
        <v>226.25399999999999</v>
      </c>
      <c r="I23" s="24">
        <v>8.0713100000000004</v>
      </c>
      <c r="J23" s="25">
        <v>1730.63</v>
      </c>
      <c r="K23" s="25">
        <v>233.42599999999999</v>
      </c>
    </row>
    <row r="25" spans="1:13" ht="12.75">
      <c r="A25" s="32" t="s">
        <v>61</v>
      </c>
    </row>
    <row r="26" spans="1:13" ht="12.75">
      <c r="A26" s="32" t="s">
        <v>62</v>
      </c>
    </row>
    <row r="28" spans="1:13" ht="23.25">
      <c r="A28" s="33" t="s">
        <v>63</v>
      </c>
    </row>
    <row r="30" spans="1:13" ht="12.75">
      <c r="A30" s="35"/>
      <c r="C30" s="35"/>
      <c r="D30" s="407" t="s">
        <v>65</v>
      </c>
      <c r="E30" s="406"/>
      <c r="F30" s="406"/>
      <c r="G30" s="406"/>
      <c r="H30" s="404"/>
      <c r="I30" s="407" t="s">
        <v>68</v>
      </c>
      <c r="J30" s="406"/>
      <c r="K30" s="406"/>
      <c r="L30" s="404"/>
    </row>
    <row r="31" spans="1:13" ht="12.75">
      <c r="A31" s="39" t="s">
        <v>70</v>
      </c>
      <c r="B31" s="39" t="s">
        <v>71</v>
      </c>
      <c r="C31" s="39" t="s">
        <v>72</v>
      </c>
      <c r="D31" s="39" t="s">
        <v>73</v>
      </c>
      <c r="E31" s="39" t="s">
        <v>74</v>
      </c>
      <c r="F31" s="57" t="s">
        <v>75</v>
      </c>
      <c r="G31" s="57" t="s">
        <v>104</v>
      </c>
      <c r="H31" s="57" t="s">
        <v>105</v>
      </c>
      <c r="I31" s="57" t="s">
        <v>73</v>
      </c>
      <c r="J31" s="57" t="s">
        <v>74</v>
      </c>
      <c r="K31" s="57" t="s">
        <v>75</v>
      </c>
      <c r="L31" s="58" t="s">
        <v>104</v>
      </c>
      <c r="M31" s="39" t="s">
        <v>106</v>
      </c>
    </row>
    <row r="32" spans="1:13" ht="12.75">
      <c r="A32" s="20" t="s">
        <v>40</v>
      </c>
      <c r="B32" s="21" t="s">
        <v>107</v>
      </c>
      <c r="C32" s="59">
        <v>74.122</v>
      </c>
      <c r="D32" s="60">
        <v>191200</v>
      </c>
      <c r="E32" s="21">
        <v>-730.4</v>
      </c>
      <c r="F32" s="23">
        <v>2.2997999999999998</v>
      </c>
      <c r="G32" s="24"/>
      <c r="H32" s="25"/>
      <c r="I32" s="61">
        <v>71274000</v>
      </c>
      <c r="J32" s="24">
        <v>4.8300000000000003E-2</v>
      </c>
      <c r="K32" s="25">
        <v>0.89659999999999995</v>
      </c>
      <c r="L32" s="25">
        <v>-0.51160000000000005</v>
      </c>
      <c r="M32" s="59">
        <v>563.1</v>
      </c>
    </row>
    <row r="33" spans="1:13" ht="12.75">
      <c r="A33" s="20" t="s">
        <v>23</v>
      </c>
      <c r="B33" s="21" t="s">
        <v>108</v>
      </c>
      <c r="C33" s="59">
        <v>60.094999999999999</v>
      </c>
      <c r="D33" s="60">
        <v>158760</v>
      </c>
      <c r="E33" s="21">
        <v>-635</v>
      </c>
      <c r="F33" s="23">
        <v>1.9690000000000001</v>
      </c>
      <c r="G33" s="24"/>
      <c r="H33" s="25"/>
      <c r="I33" s="61">
        <v>68988000</v>
      </c>
      <c r="J33" s="24">
        <v>0.64580000000000004</v>
      </c>
      <c r="K33" s="25">
        <v>-0.53839999999999999</v>
      </c>
      <c r="L33" s="25">
        <v>0.33169999999999999</v>
      </c>
      <c r="M33" s="59">
        <v>536.79999999999995</v>
      </c>
    </row>
    <row r="34" spans="1:13" ht="12.75">
      <c r="A34" s="20" t="s">
        <v>26</v>
      </c>
      <c r="B34" s="27" t="s">
        <v>108</v>
      </c>
      <c r="C34" s="62">
        <v>60.094999999999999</v>
      </c>
      <c r="D34" s="60">
        <v>471710</v>
      </c>
      <c r="E34" s="21">
        <v>-4172.1000000000004</v>
      </c>
      <c r="F34" s="23">
        <v>14.744999999999999</v>
      </c>
      <c r="G34" s="24">
        <v>-1.44E-2</v>
      </c>
      <c r="H34" s="25"/>
      <c r="I34" s="61">
        <v>72542000</v>
      </c>
      <c r="J34" s="24">
        <v>0.79137000000000002</v>
      </c>
      <c r="K34" s="25">
        <v>-0.66091999999999995</v>
      </c>
      <c r="L34" s="25">
        <v>0.34222999999999998</v>
      </c>
      <c r="M34" s="62">
        <v>508.3</v>
      </c>
    </row>
    <row r="35" spans="1:13" ht="12.75">
      <c r="A35" s="20" t="s">
        <v>27</v>
      </c>
      <c r="B35" s="27" t="s">
        <v>109</v>
      </c>
      <c r="C35" s="62">
        <v>88.105000000000004</v>
      </c>
      <c r="D35" s="60">
        <v>226230</v>
      </c>
      <c r="E35" s="21">
        <v>-624.79999999999995</v>
      </c>
      <c r="F35" s="23">
        <v>1.472</v>
      </c>
      <c r="G35" s="24"/>
      <c r="H35" s="25"/>
      <c r="I35" s="61">
        <v>49330000</v>
      </c>
      <c r="J35" s="24">
        <v>0.38469999999999999</v>
      </c>
      <c r="K35" s="25"/>
      <c r="L35" s="25"/>
      <c r="M35" s="62">
        <v>523.29999999999995</v>
      </c>
    </row>
    <row r="36" spans="1:13" ht="12.75">
      <c r="A36" s="20" t="s">
        <v>30</v>
      </c>
      <c r="B36" s="27" t="s">
        <v>110</v>
      </c>
      <c r="C36" s="62">
        <v>74.078999999999994</v>
      </c>
      <c r="D36" s="60">
        <v>61260</v>
      </c>
      <c r="E36" s="21">
        <v>270.89999999999998</v>
      </c>
      <c r="F36" s="23"/>
      <c r="G36" s="24"/>
      <c r="H36" s="25"/>
      <c r="I36" s="61">
        <v>44920000</v>
      </c>
      <c r="J36" s="24">
        <v>0.36849999999999999</v>
      </c>
      <c r="K36" s="25"/>
      <c r="L36" s="25"/>
      <c r="M36" s="62">
        <v>506.55</v>
      </c>
    </row>
    <row r="37" spans="1:13" ht="12.75">
      <c r="A37" s="20" t="s">
        <v>33</v>
      </c>
      <c r="B37" s="27" t="s">
        <v>111</v>
      </c>
      <c r="C37" s="62">
        <v>58.079000000000001</v>
      </c>
      <c r="D37" s="60">
        <v>135600</v>
      </c>
      <c r="E37" s="21">
        <v>-177</v>
      </c>
      <c r="F37" s="23">
        <v>0.28370000000000001</v>
      </c>
      <c r="G37" s="24">
        <v>6.8900000000000005E-4</v>
      </c>
      <c r="H37" s="25"/>
      <c r="I37" s="61">
        <v>42150000</v>
      </c>
      <c r="J37" s="24">
        <v>0.3397</v>
      </c>
      <c r="K37" s="25"/>
      <c r="L37" s="25"/>
      <c r="M37" s="62">
        <v>508.2</v>
      </c>
    </row>
    <row r="38" spans="1:13" ht="12.75">
      <c r="A38" s="20" t="s">
        <v>42</v>
      </c>
      <c r="B38" s="27" t="s">
        <v>112</v>
      </c>
      <c r="C38" s="62">
        <v>60.052</v>
      </c>
      <c r="D38" s="60">
        <v>139640</v>
      </c>
      <c r="E38" s="21">
        <v>-320.8</v>
      </c>
      <c r="F38" s="23">
        <v>0.89849999999999997</v>
      </c>
      <c r="G38" s="24"/>
      <c r="H38" s="25"/>
      <c r="I38" s="61">
        <v>40179000</v>
      </c>
      <c r="J38" s="24">
        <v>2.6036999999999999</v>
      </c>
      <c r="K38" s="25">
        <v>-5.0030999999999999</v>
      </c>
      <c r="L38" s="25">
        <v>2.7069000000000001</v>
      </c>
      <c r="M38" s="62">
        <v>591.95000000000005</v>
      </c>
    </row>
    <row r="39" spans="1:13" ht="12.75">
      <c r="A39" s="20" t="s">
        <v>45</v>
      </c>
      <c r="B39" s="22" t="s">
        <v>113</v>
      </c>
      <c r="C39" s="63">
        <v>46.026000000000003</v>
      </c>
      <c r="D39" s="64">
        <v>78060</v>
      </c>
      <c r="E39" s="21">
        <v>71.540000000000006</v>
      </c>
      <c r="F39" s="23"/>
      <c r="G39" s="24"/>
      <c r="H39" s="25"/>
      <c r="I39" s="61">
        <v>23195000</v>
      </c>
      <c r="J39" s="24">
        <v>1.9091</v>
      </c>
      <c r="K39" s="25">
        <v>-5.0003000000000002</v>
      </c>
      <c r="L39" s="25">
        <v>3.2641</v>
      </c>
      <c r="M39" s="63">
        <v>588</v>
      </c>
    </row>
    <row r="40" spans="1:13" ht="12.75">
      <c r="A40" s="20" t="s">
        <v>24</v>
      </c>
      <c r="B40" s="22" t="s">
        <v>114</v>
      </c>
      <c r="C40" s="63">
        <v>18.015000000000001</v>
      </c>
      <c r="D40" s="60">
        <v>276370</v>
      </c>
      <c r="E40" s="21">
        <v>-2090.1</v>
      </c>
      <c r="F40" s="23">
        <v>8.125</v>
      </c>
      <c r="G40" s="24">
        <v>-1.4116E-2</v>
      </c>
      <c r="H40" s="65">
        <f>0.0000093701</f>
        <v>9.3701000000000003E-6</v>
      </c>
      <c r="I40" s="61">
        <v>52053000</v>
      </c>
      <c r="J40" s="24">
        <v>0.31990000000000002</v>
      </c>
      <c r="K40" s="25">
        <v>-0.21199999999999999</v>
      </c>
      <c r="L40" s="25">
        <v>0.25795000000000001</v>
      </c>
      <c r="M40" s="63">
        <v>647.096</v>
      </c>
    </row>
    <row r="41" spans="1:13" ht="12.75">
      <c r="A41" s="20" t="s">
        <v>49</v>
      </c>
      <c r="B41" s="22" t="s">
        <v>115</v>
      </c>
      <c r="C41" s="63">
        <v>78.111999999999995</v>
      </c>
      <c r="D41" s="60">
        <v>129440</v>
      </c>
      <c r="E41" s="21">
        <v>-169.5</v>
      </c>
      <c r="F41" s="23">
        <v>0.64781</v>
      </c>
      <c r="G41" s="24"/>
      <c r="H41" s="25"/>
      <c r="I41" s="61">
        <v>45346000</v>
      </c>
      <c r="J41" s="24">
        <v>0.39052999999999999</v>
      </c>
      <c r="K41" s="25"/>
      <c r="L41" s="25"/>
      <c r="M41" s="63">
        <v>562.04999999999995</v>
      </c>
    </row>
    <row r="42" spans="1:13" ht="12.75">
      <c r="A42" s="20" t="s">
        <v>37</v>
      </c>
      <c r="B42" s="22" t="s">
        <v>116</v>
      </c>
      <c r="C42" s="63">
        <v>119.378</v>
      </c>
      <c r="D42" s="60">
        <v>124850</v>
      </c>
      <c r="E42" s="21">
        <v>-166.34</v>
      </c>
      <c r="F42" s="23">
        <v>0.43208999999999997</v>
      </c>
      <c r="G42" s="24"/>
      <c r="H42" s="25"/>
      <c r="I42" s="61">
        <v>41860000</v>
      </c>
      <c r="J42" s="24">
        <v>3.5839999999999997E-2</v>
      </c>
      <c r="K42" s="25"/>
      <c r="L42" s="25"/>
      <c r="M42" s="63">
        <v>536.4</v>
      </c>
    </row>
    <row r="43" spans="1:13" ht="12.75">
      <c r="A43" s="20" t="s">
        <v>29</v>
      </c>
      <c r="B43" s="22" t="s">
        <v>117</v>
      </c>
      <c r="C43" s="63">
        <v>46.067999999999998</v>
      </c>
      <c r="D43" s="60">
        <v>102640</v>
      </c>
      <c r="E43" s="21">
        <v>-139.63</v>
      </c>
      <c r="F43" s="23">
        <v>-3.0341E-2</v>
      </c>
      <c r="G43" s="24">
        <v>2.0385999999999998E-3</v>
      </c>
      <c r="H43" s="25"/>
      <c r="I43" s="61">
        <v>55789000</v>
      </c>
      <c r="J43" s="24">
        <v>0.31245000000000001</v>
      </c>
      <c r="K43" s="25"/>
      <c r="L43" s="25"/>
      <c r="M43" s="63">
        <v>514</v>
      </c>
    </row>
    <row r="44" spans="1:13" ht="12.75">
      <c r="A44" s="20" t="s">
        <v>31</v>
      </c>
      <c r="B44" s="22" t="s">
        <v>118</v>
      </c>
      <c r="C44" s="63">
        <v>32.042000000000002</v>
      </c>
      <c r="D44" s="60">
        <v>105800</v>
      </c>
      <c r="E44" s="21">
        <v>-362.23</v>
      </c>
      <c r="F44" s="23">
        <v>0.93789999999999996</v>
      </c>
      <c r="G44" s="24"/>
      <c r="H44" s="25"/>
      <c r="I44" s="61">
        <v>50451000</v>
      </c>
      <c r="J44" s="24">
        <v>0.33594000000000002</v>
      </c>
      <c r="K44" s="25"/>
      <c r="L44" s="25"/>
      <c r="M44" s="63">
        <v>512.5</v>
      </c>
    </row>
    <row r="45" spans="1:13" ht="12.75">
      <c r="A45" s="20" t="s">
        <v>56</v>
      </c>
      <c r="B45" s="22" t="s">
        <v>119</v>
      </c>
      <c r="C45" s="63">
        <v>86.174999999999997</v>
      </c>
      <c r="D45" s="66">
        <v>172120</v>
      </c>
      <c r="E45" s="21">
        <v>-183.78</v>
      </c>
      <c r="F45" s="23">
        <v>0.88734000000000002</v>
      </c>
      <c r="G45" s="24"/>
      <c r="H45" s="25"/>
      <c r="I45" s="61">
        <v>44544000</v>
      </c>
      <c r="J45" s="24">
        <v>0.39001999999999998</v>
      </c>
      <c r="K45" s="25"/>
      <c r="L45" s="25"/>
      <c r="M45" s="63">
        <v>507.6</v>
      </c>
    </row>
    <row r="46" spans="1:13" ht="12.75">
      <c r="A46" s="20" t="s">
        <v>58</v>
      </c>
      <c r="B46" s="22" t="s">
        <v>120</v>
      </c>
      <c r="C46" s="63">
        <v>153.82300000000001</v>
      </c>
      <c r="D46" s="60">
        <v>-752700</v>
      </c>
      <c r="E46" s="21">
        <v>8966.1</v>
      </c>
      <c r="F46" s="23">
        <v>-30.393999999999998</v>
      </c>
      <c r="G46" s="24">
        <v>3.4455E-2</v>
      </c>
      <c r="H46" s="25"/>
      <c r="I46" s="61">
        <v>43252000</v>
      </c>
      <c r="J46" s="24">
        <v>0.37687999999999999</v>
      </c>
      <c r="K46" s="25"/>
      <c r="L46" s="25"/>
      <c r="M46" s="63">
        <v>556.35</v>
      </c>
    </row>
    <row r="47" spans="1:13" ht="12.75">
      <c r="A47" s="20" t="s">
        <v>60</v>
      </c>
      <c r="B47" s="22" t="s">
        <v>121</v>
      </c>
      <c r="C47" s="63">
        <v>72.105999999999995</v>
      </c>
      <c r="D47" s="60">
        <v>171730</v>
      </c>
      <c r="E47" s="21">
        <v>-800.47</v>
      </c>
      <c r="F47" s="23">
        <v>2.8934000000000002</v>
      </c>
      <c r="G47" s="24">
        <v>-2.5014999999999998E-3</v>
      </c>
      <c r="H47" s="25"/>
      <c r="I47" s="61">
        <v>43021000</v>
      </c>
      <c r="J47" s="24">
        <v>0.36971999999999999</v>
      </c>
      <c r="K47" s="25"/>
      <c r="L47" s="25"/>
      <c r="M47" s="63">
        <v>540.15</v>
      </c>
    </row>
    <row r="48" spans="1:13" ht="12.75">
      <c r="A48" s="67"/>
      <c r="B48" s="68"/>
      <c r="C48" s="69"/>
      <c r="D48" s="70"/>
      <c r="E48" s="19"/>
      <c r="F48" s="71"/>
      <c r="G48" s="72"/>
      <c r="H48" s="35"/>
      <c r="I48" s="71"/>
      <c r="J48" s="72"/>
      <c r="K48" s="72"/>
    </row>
    <row r="49" spans="1:11" ht="12.75">
      <c r="A49" s="32" t="s">
        <v>122</v>
      </c>
      <c r="B49" s="68"/>
      <c r="C49" s="68"/>
      <c r="D49" s="70"/>
      <c r="E49" s="19"/>
      <c r="F49" s="71"/>
      <c r="G49" s="72"/>
      <c r="H49" s="35"/>
      <c r="I49" s="71"/>
      <c r="J49" s="72"/>
      <c r="K49" s="72"/>
    </row>
    <row r="50" spans="1:11" ht="12.75">
      <c r="A50" s="67"/>
      <c r="B50" s="68"/>
      <c r="C50" s="68"/>
      <c r="D50" s="70"/>
      <c r="E50" s="19"/>
      <c r="F50" s="71"/>
      <c r="G50" s="72"/>
      <c r="H50" s="35"/>
      <c r="I50" s="71"/>
      <c r="J50" s="72"/>
      <c r="K50" s="72"/>
    </row>
    <row r="51" spans="1:11" ht="12.75">
      <c r="B51" s="35"/>
    </row>
    <row r="52" spans="1:11" ht="12.75">
      <c r="B52" s="35"/>
    </row>
  </sheetData>
  <mergeCells count="5">
    <mergeCell ref="D3:E3"/>
    <mergeCell ref="F3:H3"/>
    <mergeCell ref="I3:K3"/>
    <mergeCell ref="D30:H30"/>
    <mergeCell ref="I30:L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D85C6"/>
    <outlinePr summaryBelow="0" summaryRight="0"/>
  </sheetPr>
  <dimension ref="A1:O61"/>
  <sheetViews>
    <sheetView showGridLines="0" topLeftCell="A29" workbookViewId="0">
      <selection activeCell="E32" sqref="E32"/>
    </sheetView>
  </sheetViews>
  <sheetFormatPr baseColWidth="10" defaultColWidth="14.42578125" defaultRowHeight="15.75" customHeight="1"/>
  <sheetData>
    <row r="1" spans="1:15" ht="12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0">
      <c r="A2" s="5" t="s">
        <v>34</v>
      </c>
      <c r="B2" s="2"/>
      <c r="C2" s="2"/>
      <c r="D2" s="2"/>
      <c r="E2" s="2"/>
      <c r="F2" s="2"/>
      <c r="G2" s="2"/>
      <c r="H2" s="2"/>
      <c r="I2" s="2"/>
      <c r="J2" s="2"/>
      <c r="K2" s="28" t="s">
        <v>36</v>
      </c>
      <c r="L2" s="2"/>
      <c r="M2" s="29" t="s">
        <v>43</v>
      </c>
      <c r="N2" s="2"/>
      <c r="O2" s="2"/>
    </row>
    <row r="4" spans="1:15" ht="23.25">
      <c r="A4" s="30" t="s">
        <v>50</v>
      </c>
    </row>
    <row r="5" spans="1:15" ht="26.25" customHeight="1">
      <c r="A5" s="9" t="s">
        <v>53</v>
      </c>
    </row>
    <row r="6" spans="1:15" ht="18">
      <c r="A6" s="31" t="s">
        <v>5</v>
      </c>
      <c r="B6" s="408" t="s">
        <v>12</v>
      </c>
      <c r="C6" s="406"/>
      <c r="D6" s="404"/>
    </row>
    <row r="7" spans="1:15" ht="12.75">
      <c r="A7" s="34" t="s">
        <v>64</v>
      </c>
      <c r="O7" s="35"/>
    </row>
    <row r="8" spans="1:15" ht="12.75">
      <c r="A8" s="36"/>
      <c r="B8" s="35"/>
      <c r="C8" s="35"/>
      <c r="D8" s="35"/>
      <c r="E8" s="35"/>
      <c r="O8" s="36"/>
    </row>
    <row r="9" spans="1:15" ht="12.75">
      <c r="A9" s="36" t="s">
        <v>66</v>
      </c>
      <c r="B9" s="35"/>
      <c r="C9" s="35"/>
      <c r="D9" s="35"/>
      <c r="E9" s="35"/>
      <c r="O9" s="35"/>
    </row>
    <row r="10" spans="1:15" ht="12.75">
      <c r="A10" s="34"/>
      <c r="B10" s="35"/>
      <c r="C10" s="35"/>
      <c r="D10" s="35"/>
      <c r="E10" s="35"/>
      <c r="O10" s="35"/>
    </row>
    <row r="11" spans="1:15" ht="12.75">
      <c r="A11" s="37" t="s">
        <v>67</v>
      </c>
      <c r="B11" s="38" t="s">
        <v>69</v>
      </c>
      <c r="C11" s="38" t="s">
        <v>19</v>
      </c>
      <c r="D11" s="38" t="s">
        <v>20</v>
      </c>
      <c r="E11" s="38" t="s">
        <v>21</v>
      </c>
    </row>
    <row r="12" spans="1:15" ht="12.75">
      <c r="A12" s="40" t="str">
        <f>VLOOKUP(B6,Datos.sistemas,2,TRUE)</f>
        <v>1-Propanol</v>
      </c>
      <c r="B12" s="41" t="s">
        <v>76</v>
      </c>
      <c r="C12" s="42">
        <f>VLOOKUP($B$6,Datos.sistemas,6)</f>
        <v>8.3789499999999997</v>
      </c>
      <c r="D12" s="43">
        <f>VLOOKUP($B$6,Datos.sistemas,7)</f>
        <v>1788.02</v>
      </c>
      <c r="E12" s="44">
        <f>VLOOKUP($B$6,Datos.sistemas,8)</f>
        <v>227.43799999999999</v>
      </c>
    </row>
    <row r="13" spans="1:15" ht="12.75">
      <c r="A13" s="40" t="str">
        <f>VLOOKUP(B6,Datos.sistemas,3)</f>
        <v>Agua</v>
      </c>
      <c r="B13" s="41" t="s">
        <v>77</v>
      </c>
      <c r="C13" s="42">
        <f>VLOOKUP($B$6,Datos.sistemas,9)</f>
        <v>8.0713100000000004</v>
      </c>
      <c r="D13" s="43">
        <f>VLOOKUP($B$6,Datos.sistemas,10)</f>
        <v>1730.63</v>
      </c>
      <c r="E13" s="43">
        <f>VLOOKUP($B$6,Datos.sistemas,11)</f>
        <v>233.42599999999999</v>
      </c>
    </row>
    <row r="15" spans="1:15" ht="12.75">
      <c r="A15" s="36" t="s">
        <v>78</v>
      </c>
    </row>
    <row r="17" spans="1:14" ht="12.75">
      <c r="A17" s="37" t="s">
        <v>17</v>
      </c>
      <c r="B17" s="23">
        <f>VLOOKUP($B$6,Datos.sistemas,4)</f>
        <v>2.9095</v>
      </c>
    </row>
    <row r="18" spans="1:14" ht="12.75">
      <c r="A18" s="37" t="s">
        <v>18</v>
      </c>
      <c r="B18" s="23">
        <f>VLOOKUP($B$6,Datos.sistemas,5)</f>
        <v>1.1572</v>
      </c>
    </row>
    <row r="21" spans="1:14" ht="23.25">
      <c r="A21" s="30" t="s">
        <v>79</v>
      </c>
      <c r="B21" s="36" t="s">
        <v>80</v>
      </c>
    </row>
    <row r="22" spans="1:14" ht="12.75">
      <c r="A22" s="36"/>
    </row>
    <row r="23" spans="1:14" ht="15">
      <c r="A23" s="9" t="s">
        <v>81</v>
      </c>
    </row>
    <row r="24" spans="1:14" ht="12.75">
      <c r="A24" s="409" t="s">
        <v>82</v>
      </c>
      <c r="B24" s="45">
        <v>1</v>
      </c>
      <c r="C24" s="26" t="s">
        <v>83</v>
      </c>
    </row>
    <row r="25" spans="1:14" ht="12.75">
      <c r="A25" s="410"/>
      <c r="B25" s="44">
        <f>CONVERT(B24,"atm","Torr")</f>
        <v>760</v>
      </c>
      <c r="C25" s="26" t="s">
        <v>84</v>
      </c>
    </row>
    <row r="26" spans="1:14" ht="12.75">
      <c r="A26" s="411"/>
      <c r="B26" s="48">
        <f>CONVERT(B24,"atm","psi")</f>
        <v>14.695948775513449</v>
      </c>
      <c r="C26" s="26" t="s">
        <v>85</v>
      </c>
    </row>
    <row r="28" spans="1:14" ht="12.75">
      <c r="A28" s="36" t="s">
        <v>86</v>
      </c>
    </row>
    <row r="29" spans="1:14" ht="23.25">
      <c r="E29" s="30" t="s">
        <v>87</v>
      </c>
    </row>
    <row r="30" spans="1:14" ht="12.75">
      <c r="A30" s="35"/>
      <c r="F30" s="35" t="s">
        <v>88</v>
      </c>
      <c r="H30" s="35" t="s">
        <v>89</v>
      </c>
    </row>
    <row r="31" spans="1:14" ht="12.75">
      <c r="A31" s="11" t="s">
        <v>8</v>
      </c>
      <c r="B31" s="11" t="s">
        <v>90</v>
      </c>
      <c r="C31" s="49" t="s">
        <v>91</v>
      </c>
      <c r="D31" s="49" t="s">
        <v>92</v>
      </c>
      <c r="E31" s="50" t="s">
        <v>93</v>
      </c>
      <c r="F31" s="50" t="s">
        <v>94</v>
      </c>
      <c r="G31" s="37" t="s">
        <v>95</v>
      </c>
      <c r="H31" s="37" t="s">
        <v>96</v>
      </c>
      <c r="I31" s="37" t="s">
        <v>97</v>
      </c>
      <c r="J31" s="37" t="s">
        <v>98</v>
      </c>
      <c r="K31" s="37" t="s">
        <v>99</v>
      </c>
      <c r="L31" s="37" t="s">
        <v>9</v>
      </c>
      <c r="M31" s="37" t="s">
        <v>100</v>
      </c>
      <c r="N31" s="37" t="s">
        <v>101</v>
      </c>
    </row>
    <row r="32" spans="1:14" ht="12.75">
      <c r="A32" s="51">
        <v>0</v>
      </c>
      <c r="B32" s="48">
        <f t="shared" ref="B32:B52" si="0">1-A32</f>
        <v>1</v>
      </c>
      <c r="C32" s="52">
        <f t="shared" ref="C32:C52" si="1">EXP(A.12*((A.21*B32)/(A.12*A32+A.21*B32))^2)</f>
        <v>18.34762246195185</v>
      </c>
      <c r="D32" s="52">
        <f t="shared" ref="D32:D52" si="2">EXP(A.21*((A.12*A32)/(A.12*A32+A.21*B32))^2)</f>
        <v>1</v>
      </c>
      <c r="E32" s="53">
        <v>99.996906799874495</v>
      </c>
      <c r="F32" s="44">
        <f t="shared" ref="F32:F52" si="3">10^(A.1-(B.1/(E32+C.1)))</f>
        <v>828.44101446079799</v>
      </c>
      <c r="G32" s="44">
        <f t="shared" ref="G32:G52" si="4">10^(A.2-(B.2/(E32+C.2)))</f>
        <v>760.00209937559612</v>
      </c>
      <c r="H32" s="52">
        <f t="shared" ref="H32:I32" si="5">A32*C32*F32</f>
        <v>0</v>
      </c>
      <c r="I32" s="52">
        <f t="shared" si="5"/>
        <v>760.00209937559612</v>
      </c>
      <c r="J32" s="52">
        <f t="shared" ref="J32:J52" si="6">H32+I32</f>
        <v>760.00209937559612</v>
      </c>
      <c r="K32" s="74">
        <f t="shared" ref="K32:K52" si="7">J32/P.trabTorr</f>
        <v>1.0000027623363106</v>
      </c>
      <c r="L32" s="44">
        <f t="shared" ref="L32:L52" si="8">H32/P.trabTorr</f>
        <v>0</v>
      </c>
      <c r="M32" s="44">
        <f t="shared" ref="M32:M52" si="9">1-L32</f>
        <v>1</v>
      </c>
      <c r="N32" s="48">
        <f t="shared" ref="N32:N52" si="10">A32</f>
        <v>0</v>
      </c>
    </row>
    <row r="33" spans="1:14" ht="12.75">
      <c r="A33" s="51">
        <v>0.05</v>
      </c>
      <c r="B33" s="48">
        <f t="shared" si="0"/>
        <v>0.95</v>
      </c>
      <c r="C33" s="52">
        <f t="shared" si="1"/>
        <v>9.671661467884924</v>
      </c>
      <c r="D33" s="52">
        <f t="shared" si="2"/>
        <v>1.0159298583106753</v>
      </c>
      <c r="E33" s="82">
        <v>89.4484648300934</v>
      </c>
      <c r="F33" s="44">
        <f t="shared" si="3"/>
        <v>545.11418427291721</v>
      </c>
      <c r="G33" s="44">
        <f t="shared" si="4"/>
        <v>514.32682067628241</v>
      </c>
      <c r="H33" s="52">
        <f t="shared" ref="H33:I33" si="11">A33*C33*F33</f>
        <v>263.60799258149478</v>
      </c>
      <c r="I33" s="52">
        <f t="shared" si="11"/>
        <v>496.39397535228386</v>
      </c>
      <c r="J33" s="52">
        <f t="shared" si="6"/>
        <v>760.00196793377859</v>
      </c>
      <c r="K33" s="74">
        <f t="shared" si="7"/>
        <v>1.0000025893865507</v>
      </c>
      <c r="L33" s="90">
        <f t="shared" si="8"/>
        <v>0.34685262181775628</v>
      </c>
      <c r="M33" s="90">
        <f t="shared" si="9"/>
        <v>0.65314737818224367</v>
      </c>
      <c r="N33" s="48">
        <f t="shared" si="10"/>
        <v>0.05</v>
      </c>
    </row>
    <row r="34" spans="1:14" ht="12.75">
      <c r="A34" s="51">
        <v>0.1</v>
      </c>
      <c r="B34" s="48">
        <f t="shared" si="0"/>
        <v>0.9</v>
      </c>
      <c r="C34" s="52">
        <f t="shared" si="1"/>
        <v>5.9155784864885046</v>
      </c>
      <c r="D34" s="52">
        <f t="shared" si="2"/>
        <v>1.056727405213457</v>
      </c>
      <c r="E34" s="82">
        <v>87.786227789838406</v>
      </c>
      <c r="F34" s="44">
        <f t="shared" si="3"/>
        <v>509.01866734027624</v>
      </c>
      <c r="G34" s="44">
        <f t="shared" si="4"/>
        <v>482.50454692099476</v>
      </c>
      <c r="H34" s="52">
        <f t="shared" ref="H34:I34" si="12">A34*C34*F34</f>
        <v>301.11398777391872</v>
      </c>
      <c r="I34" s="52">
        <f t="shared" si="12"/>
        <v>458.88820008436574</v>
      </c>
      <c r="J34" s="52">
        <f t="shared" si="6"/>
        <v>760.00218785828451</v>
      </c>
      <c r="K34" s="74">
        <f t="shared" si="7"/>
        <v>1.0000028787609008</v>
      </c>
      <c r="L34" s="90">
        <f t="shared" si="8"/>
        <v>0.39620261549199831</v>
      </c>
      <c r="M34" s="90">
        <f t="shared" si="9"/>
        <v>0.60379738450800169</v>
      </c>
      <c r="N34" s="48">
        <f t="shared" si="10"/>
        <v>0.1</v>
      </c>
    </row>
    <row r="35" spans="1:14" ht="12.75">
      <c r="A35" s="51">
        <v>0.15</v>
      </c>
      <c r="B35" s="48">
        <f t="shared" si="0"/>
        <v>0.85</v>
      </c>
      <c r="C35" s="52">
        <f t="shared" si="1"/>
        <v>4.0387964539294092</v>
      </c>
      <c r="D35" s="52">
        <f t="shared" si="2"/>
        <v>1.1154978729171197</v>
      </c>
      <c r="E35" s="82">
        <v>87.592822640634296</v>
      </c>
      <c r="F35" s="44">
        <f t="shared" si="3"/>
        <v>504.95351174120157</v>
      </c>
      <c r="G35" s="44">
        <f t="shared" si="4"/>
        <v>478.91164965973178</v>
      </c>
      <c r="H35" s="52">
        <f t="shared" ref="H35:I35" si="13">A35*C35*F35</f>
        <v>305.91066789293507</v>
      </c>
      <c r="I35" s="52">
        <f t="shared" si="13"/>
        <v>454.09118753406062</v>
      </c>
      <c r="J35" s="52">
        <f t="shared" si="6"/>
        <v>760.00185542699569</v>
      </c>
      <c r="K35" s="74">
        <f t="shared" si="7"/>
        <v>1.0000024413513102</v>
      </c>
      <c r="L35" s="90">
        <f t="shared" si="8"/>
        <v>0.40251403670123037</v>
      </c>
      <c r="M35" s="90">
        <f t="shared" si="9"/>
        <v>0.59748596329876968</v>
      </c>
      <c r="N35" s="48">
        <f t="shared" si="10"/>
        <v>0.15</v>
      </c>
    </row>
    <row r="36" spans="1:14" ht="12.75">
      <c r="A36" s="51">
        <v>0.2</v>
      </c>
      <c r="B36" s="48">
        <f t="shared" si="0"/>
        <v>0.8</v>
      </c>
      <c r="C36" s="52">
        <f t="shared" si="1"/>
        <v>2.9951801394115329</v>
      </c>
      <c r="D36" s="52">
        <f t="shared" si="2"/>
        <v>1.188134630564329</v>
      </c>
      <c r="E36" s="82">
        <v>87.669299434290195</v>
      </c>
      <c r="F36" s="44">
        <f t="shared" si="3"/>
        <v>506.5576675521279</v>
      </c>
      <c r="G36" s="44">
        <f t="shared" si="4"/>
        <v>480.32967081077896</v>
      </c>
      <c r="H36" s="52">
        <f t="shared" ref="H36:I36" si="14">A36*C36*F36</f>
        <v>303.44629306375271</v>
      </c>
      <c r="I36" s="52">
        <f t="shared" si="14"/>
        <v>456.55705278228055</v>
      </c>
      <c r="J36" s="52">
        <f t="shared" si="6"/>
        <v>760.0033458460332</v>
      </c>
      <c r="K36" s="74">
        <f t="shared" si="7"/>
        <v>1.0000044024289911</v>
      </c>
      <c r="L36" s="90">
        <f t="shared" si="8"/>
        <v>0.39927143824177985</v>
      </c>
      <c r="M36" s="90">
        <f t="shared" si="9"/>
        <v>0.60072856175822009</v>
      </c>
      <c r="N36" s="48">
        <f t="shared" si="10"/>
        <v>0.2</v>
      </c>
    </row>
    <row r="37" spans="1:14" ht="12.75">
      <c r="A37" s="51">
        <v>0.25</v>
      </c>
      <c r="B37" s="48">
        <f t="shared" si="0"/>
        <v>0.75</v>
      </c>
      <c r="C37" s="52">
        <f t="shared" si="1"/>
        <v>2.3659165484737019</v>
      </c>
      <c r="D37" s="52">
        <f t="shared" si="2"/>
        <v>1.2719828317744659</v>
      </c>
      <c r="E37" s="82">
        <v>87.740759979081602</v>
      </c>
      <c r="F37" s="44">
        <f t="shared" si="3"/>
        <v>508.06050254843416</v>
      </c>
      <c r="G37" s="44">
        <f t="shared" si="4"/>
        <v>481.65786285162181</v>
      </c>
      <c r="H37" s="52">
        <f t="shared" ref="H37:I37" si="15">A37*C37*F37</f>
        <v>300.50718765130142</v>
      </c>
      <c r="I37" s="52">
        <f t="shared" si="15"/>
        <v>459.49539925233245</v>
      </c>
      <c r="J37" s="52">
        <f t="shared" si="6"/>
        <v>760.00258690363387</v>
      </c>
      <c r="K37" s="74">
        <f t="shared" si="7"/>
        <v>1.000003403820571</v>
      </c>
      <c r="L37" s="90">
        <f t="shared" si="8"/>
        <v>0.3954041942780282</v>
      </c>
      <c r="M37" s="90">
        <f t="shared" si="9"/>
        <v>0.6045958057219718</v>
      </c>
      <c r="N37" s="48">
        <f t="shared" si="10"/>
        <v>0.25</v>
      </c>
    </row>
    <row r="38" spans="1:14" ht="12.75">
      <c r="A38" s="51">
        <v>0.3</v>
      </c>
      <c r="B38" s="48">
        <f t="shared" si="0"/>
        <v>0.7</v>
      </c>
      <c r="C38" s="52">
        <f t="shared" si="1"/>
        <v>1.9622524502191512</v>
      </c>
      <c r="D38" s="52">
        <f t="shared" si="2"/>
        <v>1.3651958592458706</v>
      </c>
      <c r="E38" s="82">
        <v>87.761637253110493</v>
      </c>
      <c r="F38" s="44">
        <f t="shared" si="3"/>
        <v>508.50026943523324</v>
      </c>
      <c r="G38" s="44">
        <f t="shared" si="4"/>
        <v>482.04647653866249</v>
      </c>
      <c r="H38" s="52">
        <f t="shared" ref="H38:I38" si="16">A38*C38*F38</f>
        <v>299.34176989091549</v>
      </c>
      <c r="I38" s="52">
        <f t="shared" si="16"/>
        <v>460.66149761425061</v>
      </c>
      <c r="J38" s="52">
        <f t="shared" si="6"/>
        <v>760.00326750516615</v>
      </c>
      <c r="K38" s="74">
        <f t="shared" si="7"/>
        <v>1.0000042993489029</v>
      </c>
      <c r="L38" s="90">
        <f t="shared" si="8"/>
        <v>0.39387074985646775</v>
      </c>
      <c r="M38" s="90">
        <f t="shared" si="9"/>
        <v>0.60612925014353225</v>
      </c>
      <c r="N38" s="48">
        <f t="shared" si="10"/>
        <v>0.3</v>
      </c>
    </row>
    <row r="39" spans="1:14" ht="12.75">
      <c r="A39" s="51">
        <v>0.35</v>
      </c>
      <c r="B39" s="48">
        <f t="shared" si="0"/>
        <v>0.65</v>
      </c>
      <c r="C39" s="52">
        <f t="shared" si="1"/>
        <v>1.6906802167732713</v>
      </c>
      <c r="D39" s="52">
        <f t="shared" si="2"/>
        <v>1.4664041022823981</v>
      </c>
      <c r="E39" s="82">
        <v>87.749578910810598</v>
      </c>
      <c r="F39" s="44">
        <f t="shared" si="3"/>
        <v>508.24622859158791</v>
      </c>
      <c r="G39" s="44">
        <f t="shared" si="4"/>
        <v>481.82198811194712</v>
      </c>
      <c r="H39" s="52">
        <f t="shared" ref="H39:I39" si="17">A39*C39*F39</f>
        <v>300.74864537529817</v>
      </c>
      <c r="I39" s="52">
        <f t="shared" si="17"/>
        <v>459.25473095919313</v>
      </c>
      <c r="J39" s="52">
        <f t="shared" si="6"/>
        <v>760.00337633449135</v>
      </c>
      <c r="K39" s="74">
        <f t="shared" si="7"/>
        <v>1.0000044425453833</v>
      </c>
      <c r="L39" s="90">
        <f t="shared" si="8"/>
        <v>0.39572190180960287</v>
      </c>
      <c r="M39" s="90">
        <f t="shared" si="9"/>
        <v>0.60427809819039713</v>
      </c>
      <c r="N39" s="48">
        <f t="shared" si="10"/>
        <v>0.35</v>
      </c>
    </row>
    <row r="40" spans="1:14" ht="12.75">
      <c r="A40" s="51">
        <v>0.4</v>
      </c>
      <c r="B40" s="48">
        <f t="shared" si="0"/>
        <v>0.6</v>
      </c>
      <c r="C40" s="52">
        <f t="shared" si="1"/>
        <v>1.50117333796698</v>
      </c>
      <c r="D40" s="52">
        <f t="shared" si="2"/>
        <v>1.5745350601215369</v>
      </c>
      <c r="E40" s="82">
        <v>87.737279949669102</v>
      </c>
      <c r="F40" s="44">
        <f t="shared" si="3"/>
        <v>507.9872292064652</v>
      </c>
      <c r="G40" s="44">
        <f t="shared" si="4"/>
        <v>481.5931104596221</v>
      </c>
      <c r="H40" s="52">
        <f t="shared" ref="H40:I40" si="18">A40*C40*F40</f>
        <v>305.03075380498672</v>
      </c>
      <c r="I40" s="52">
        <f t="shared" si="18"/>
        <v>454.97114227899544</v>
      </c>
      <c r="J40" s="52">
        <f t="shared" si="6"/>
        <v>760.00189608398216</v>
      </c>
      <c r="K40" s="74">
        <f t="shared" si="7"/>
        <v>1.0000024948473449</v>
      </c>
      <c r="L40" s="90">
        <f t="shared" si="8"/>
        <v>0.40135625500656147</v>
      </c>
      <c r="M40" s="90">
        <f t="shared" si="9"/>
        <v>0.59864374499343853</v>
      </c>
      <c r="N40" s="48">
        <f t="shared" si="10"/>
        <v>0.4</v>
      </c>
    </row>
    <row r="41" spans="1:14" ht="12.75">
      <c r="A41" s="51">
        <v>0.45</v>
      </c>
      <c r="B41" s="48">
        <f t="shared" si="0"/>
        <v>0.55000000000000004</v>
      </c>
      <c r="C41" s="52">
        <f t="shared" si="1"/>
        <v>1.365212505350105</v>
      </c>
      <c r="D41" s="52">
        <f t="shared" si="2"/>
        <v>1.6887111791100369</v>
      </c>
      <c r="E41" s="82">
        <v>87.757879762296895</v>
      </c>
      <c r="F41" s="44">
        <f t="shared" si="3"/>
        <v>508.42109643124354</v>
      </c>
      <c r="G41" s="44">
        <f t="shared" si="4"/>
        <v>481.97651446416251</v>
      </c>
      <c r="H41" s="52">
        <f t="shared" ref="H41:I41" si="19">A41*C41*F41</f>
        <v>312.34627747428539</v>
      </c>
      <c r="I41" s="52">
        <f t="shared" si="19"/>
        <v>447.65552042426691</v>
      </c>
      <c r="J41" s="52">
        <f t="shared" si="6"/>
        <v>760.00179789855224</v>
      </c>
      <c r="K41" s="74">
        <f t="shared" si="7"/>
        <v>1.0000023656559898</v>
      </c>
      <c r="L41" s="90">
        <f t="shared" si="8"/>
        <v>0.41098194404511235</v>
      </c>
      <c r="M41" s="90">
        <f t="shared" si="9"/>
        <v>0.58901805595488765</v>
      </c>
      <c r="N41" s="48">
        <f t="shared" si="10"/>
        <v>0.45</v>
      </c>
    </row>
    <row r="42" spans="1:14" ht="12.75">
      <c r="A42" s="51">
        <v>0.5</v>
      </c>
      <c r="B42" s="48">
        <f t="shared" si="0"/>
        <v>0.5</v>
      </c>
      <c r="C42" s="52">
        <f t="shared" si="1"/>
        <v>1.2656512260046577</v>
      </c>
      <c r="D42" s="52">
        <f t="shared" si="2"/>
        <v>1.8081895742247855</v>
      </c>
      <c r="E42" s="82">
        <v>87.840886021808998</v>
      </c>
      <c r="F42" s="44">
        <f t="shared" si="3"/>
        <v>510.17253140207066</v>
      </c>
      <c r="G42" s="44">
        <f t="shared" si="4"/>
        <v>483.52402355595643</v>
      </c>
      <c r="H42" s="52">
        <f t="shared" ref="H42:I42" si="20">A42*C42*F42</f>
        <v>322.85024492146522</v>
      </c>
      <c r="I42" s="52">
        <f t="shared" si="20"/>
        <v>437.15154914055</v>
      </c>
      <c r="J42" s="52">
        <f t="shared" si="6"/>
        <v>760.00179406201528</v>
      </c>
      <c r="K42" s="74">
        <f t="shared" si="7"/>
        <v>1.0000023606079149</v>
      </c>
      <c r="L42" s="90">
        <f t="shared" si="8"/>
        <v>0.42480295384403316</v>
      </c>
      <c r="M42" s="90">
        <f t="shared" si="9"/>
        <v>0.57519704615596678</v>
      </c>
      <c r="N42" s="48">
        <f t="shared" si="10"/>
        <v>0.5</v>
      </c>
    </row>
    <row r="43" spans="1:14" ht="12.75">
      <c r="A43" s="51">
        <v>0.55000000000000004</v>
      </c>
      <c r="B43" s="48">
        <f t="shared" si="0"/>
        <v>0.44999999999999996</v>
      </c>
      <c r="C43" s="52">
        <f t="shared" si="1"/>
        <v>1.1917053140185925</v>
      </c>
      <c r="D43" s="52">
        <f t="shared" si="2"/>
        <v>1.9323252205240795</v>
      </c>
      <c r="E43" s="82">
        <v>88.012219469690095</v>
      </c>
      <c r="F43" s="44">
        <f t="shared" si="3"/>
        <v>513.80383543067273</v>
      </c>
      <c r="G43" s="44">
        <f t="shared" si="4"/>
        <v>486.73142341312183</v>
      </c>
      <c r="H43" s="52">
        <f t="shared" ref="H43:I43" si="21">A43*C43*F43</f>
        <v>336.76651857522694</v>
      </c>
      <c r="I43" s="52">
        <f t="shared" si="21"/>
        <v>423.23553228724188</v>
      </c>
      <c r="J43" s="52">
        <f t="shared" si="6"/>
        <v>760.00205086246888</v>
      </c>
      <c r="K43" s="74">
        <f t="shared" si="7"/>
        <v>1.0000026985032486</v>
      </c>
      <c r="L43" s="90">
        <f t="shared" si="8"/>
        <v>0.44311384023056177</v>
      </c>
      <c r="M43" s="90">
        <f t="shared" si="9"/>
        <v>0.55688615976943823</v>
      </c>
      <c r="N43" s="48">
        <f t="shared" si="10"/>
        <v>0.55000000000000004</v>
      </c>
    </row>
    <row r="44" spans="1:14" ht="12.75">
      <c r="A44" s="51">
        <v>0.6</v>
      </c>
      <c r="B44" s="48">
        <f t="shared" si="0"/>
        <v>0.4</v>
      </c>
      <c r="C44" s="52">
        <f t="shared" si="1"/>
        <v>1.1363250695297162</v>
      </c>
      <c r="D44" s="52">
        <f t="shared" si="2"/>
        <v>2.0605477283032241</v>
      </c>
      <c r="E44" s="82">
        <v>88.295187954170103</v>
      </c>
      <c r="F44" s="44">
        <f t="shared" si="3"/>
        <v>519.84909361315772</v>
      </c>
      <c r="G44" s="44">
        <f t="shared" si="4"/>
        <v>492.06772161441978</v>
      </c>
      <c r="H44" s="52">
        <f t="shared" ref="H44:I44" si="22">A44*C44*F44</f>
        <v>354.43053446695882</v>
      </c>
      <c r="I44" s="52">
        <f t="shared" si="22"/>
        <v>405.57161037757442</v>
      </c>
      <c r="J44" s="52">
        <f t="shared" si="6"/>
        <v>760.00214484453318</v>
      </c>
      <c r="K44" s="74">
        <f t="shared" si="7"/>
        <v>1.0000028221638595</v>
      </c>
      <c r="L44" s="90">
        <f t="shared" si="8"/>
        <v>0.46635596640389321</v>
      </c>
      <c r="M44" s="90">
        <f t="shared" si="9"/>
        <v>0.53364403359610679</v>
      </c>
      <c r="N44" s="48">
        <f t="shared" si="10"/>
        <v>0.6</v>
      </c>
    </row>
    <row r="45" spans="1:14" ht="12.75">
      <c r="A45" s="51">
        <v>0.65</v>
      </c>
      <c r="B45" s="48">
        <f t="shared" si="0"/>
        <v>0.35</v>
      </c>
      <c r="C45" s="52">
        <f t="shared" si="1"/>
        <v>1.0947455063492884</v>
      </c>
      <c r="D45" s="52">
        <f t="shared" si="2"/>
        <v>2.1923461951772936</v>
      </c>
      <c r="E45" s="82">
        <v>88.711919302915206</v>
      </c>
      <c r="F45" s="44">
        <f t="shared" si="3"/>
        <v>528.86160724284969</v>
      </c>
      <c r="G45" s="44">
        <f t="shared" si="4"/>
        <v>500.01582550031156</v>
      </c>
      <c r="H45" s="52">
        <f t="shared" ref="H45:I45" si="23">A45*C45*F45</f>
        <v>376.32976420635174</v>
      </c>
      <c r="I45" s="52">
        <f t="shared" si="23"/>
        <v>383.67272739741452</v>
      </c>
      <c r="J45" s="52">
        <f t="shared" si="6"/>
        <v>760.0024916037662</v>
      </c>
      <c r="K45" s="74">
        <f t="shared" si="7"/>
        <v>1.0000032784260082</v>
      </c>
      <c r="L45" s="90">
        <f t="shared" si="8"/>
        <v>0.49517074237677861</v>
      </c>
      <c r="M45" s="90">
        <f t="shared" si="9"/>
        <v>0.50482925762322139</v>
      </c>
      <c r="N45" s="48">
        <f t="shared" si="10"/>
        <v>0.65</v>
      </c>
    </row>
    <row r="46" spans="1:14" ht="12.75">
      <c r="A46" s="51">
        <v>0.7</v>
      </c>
      <c r="B46" s="48">
        <f t="shared" si="0"/>
        <v>0.30000000000000004</v>
      </c>
      <c r="C46" s="52">
        <f t="shared" si="1"/>
        <v>1.0636506514573216</v>
      </c>
      <c r="D46" s="52">
        <f t="shared" si="2"/>
        <v>2.3272589724702248</v>
      </c>
      <c r="E46" s="82">
        <v>89.284770470494706</v>
      </c>
      <c r="F46" s="44">
        <f t="shared" si="3"/>
        <v>541.46606542497557</v>
      </c>
      <c r="G46" s="44">
        <f t="shared" si="4"/>
        <v>511.1169546125488</v>
      </c>
      <c r="H46" s="52">
        <f t="shared" ref="H46:I46" si="24">A46*C46*F46</f>
        <v>403.15151326191557</v>
      </c>
      <c r="I46" s="52">
        <f t="shared" si="24"/>
        <v>356.85045558111335</v>
      </c>
      <c r="J46" s="52">
        <f t="shared" si="6"/>
        <v>760.00196884302886</v>
      </c>
      <c r="K46" s="74">
        <f t="shared" si="7"/>
        <v>1.0000025905829326</v>
      </c>
      <c r="L46" s="90">
        <f t="shared" si="8"/>
        <v>0.53046251744988893</v>
      </c>
      <c r="M46" s="90">
        <f t="shared" si="9"/>
        <v>0.46953748255011107</v>
      </c>
      <c r="N46" s="48">
        <f t="shared" si="10"/>
        <v>0.7</v>
      </c>
    </row>
    <row r="47" spans="1:14" ht="12.75">
      <c r="A47" s="51">
        <v>0.75</v>
      </c>
      <c r="B47" s="48">
        <f t="shared" si="0"/>
        <v>0.25</v>
      </c>
      <c r="C47" s="52">
        <f t="shared" si="1"/>
        <v>1.0406730053357598</v>
      </c>
      <c r="D47" s="52">
        <f t="shared" si="2"/>
        <v>2.4648664830765474</v>
      </c>
      <c r="E47" s="82">
        <v>90.038041439905101</v>
      </c>
      <c r="F47" s="44">
        <f t="shared" si="3"/>
        <v>558.42641737136978</v>
      </c>
      <c r="G47" s="44">
        <f t="shared" si="4"/>
        <v>526.02810880943559</v>
      </c>
      <c r="H47" s="52">
        <f t="shared" ref="H47:I47" si="25">A47*C47*F47</f>
        <v>435.85447351855856</v>
      </c>
      <c r="I47" s="52">
        <f t="shared" si="25"/>
        <v>324.14726364013023</v>
      </c>
      <c r="J47" s="52">
        <f t="shared" si="6"/>
        <v>760.0017371586888</v>
      </c>
      <c r="K47" s="74">
        <f t="shared" si="7"/>
        <v>1.0000022857351167</v>
      </c>
      <c r="L47" s="90">
        <f t="shared" si="8"/>
        <v>0.57349272831389286</v>
      </c>
      <c r="M47" s="90">
        <f t="shared" si="9"/>
        <v>0.42650727168610714</v>
      </c>
      <c r="N47" s="48">
        <f t="shared" si="10"/>
        <v>0.75</v>
      </c>
    </row>
    <row r="48" spans="1:14" ht="12.75">
      <c r="A48" s="51">
        <v>0.8</v>
      </c>
      <c r="B48" s="48">
        <f t="shared" si="0"/>
        <v>0.19999999999999996</v>
      </c>
      <c r="C48" s="52">
        <f t="shared" si="1"/>
        <v>1.0240834654728665</v>
      </c>
      <c r="D48" s="52">
        <f t="shared" si="2"/>
        <v>2.604785970528801</v>
      </c>
      <c r="E48" s="82">
        <v>90.999661365073294</v>
      </c>
      <c r="F48" s="44">
        <f t="shared" si="3"/>
        <v>580.72891941334581</v>
      </c>
      <c r="G48" s="44">
        <f t="shared" si="4"/>
        <v>545.59151954342326</v>
      </c>
      <c r="H48" s="52">
        <f t="shared" ref="H48:I48" si="26">A48*C48*F48</f>
        <v>475.77190743450581</v>
      </c>
      <c r="I48" s="52">
        <f t="shared" si="26"/>
        <v>284.22982714923978</v>
      </c>
      <c r="J48" s="52">
        <f t="shared" si="6"/>
        <v>760.00173458374559</v>
      </c>
      <c r="K48" s="74">
        <f t="shared" si="7"/>
        <v>1.0000022823470336</v>
      </c>
      <c r="L48" s="90">
        <f t="shared" si="8"/>
        <v>0.62601566767698136</v>
      </c>
      <c r="M48" s="90">
        <f t="shared" si="9"/>
        <v>0.37398433232301864</v>
      </c>
      <c r="N48" s="48">
        <f t="shared" si="10"/>
        <v>0.8</v>
      </c>
    </row>
    <row r="49" spans="1:14" ht="12.75">
      <c r="A49" s="51">
        <v>0.85</v>
      </c>
      <c r="B49" s="48">
        <f t="shared" si="0"/>
        <v>0.15000000000000002</v>
      </c>
      <c r="C49" s="52">
        <f t="shared" si="1"/>
        <v>1.0125934129948777</v>
      </c>
      <c r="D49" s="52">
        <f t="shared" si="2"/>
        <v>2.7466674940306111</v>
      </c>
      <c r="E49" s="82">
        <v>92.203495583203704</v>
      </c>
      <c r="F49" s="44">
        <f t="shared" si="3"/>
        <v>609.70616414937172</v>
      </c>
      <c r="G49" s="44">
        <f t="shared" si="4"/>
        <v>570.93773710957555</v>
      </c>
      <c r="H49" s="52">
        <f t="shared" ref="H49:I49" si="27">A49*C49*F49</f>
        <v>524.77677882802334</v>
      </c>
      <c r="I49" s="52">
        <f t="shared" si="27"/>
        <v>235.22641854513986</v>
      </c>
      <c r="J49" s="52">
        <f t="shared" si="6"/>
        <v>760.00319737316318</v>
      </c>
      <c r="K49" s="74">
        <f t="shared" si="7"/>
        <v>1.0000042070699515</v>
      </c>
      <c r="L49" s="90">
        <f t="shared" si="8"/>
        <v>0.69049576161582016</v>
      </c>
      <c r="M49" s="90">
        <f t="shared" si="9"/>
        <v>0.30950423838417984</v>
      </c>
      <c r="N49" s="48">
        <f t="shared" si="10"/>
        <v>0.85</v>
      </c>
    </row>
    <row r="50" spans="1:14" ht="12.75">
      <c r="A50" s="51">
        <v>0.9</v>
      </c>
      <c r="B50" s="48">
        <f t="shared" si="0"/>
        <v>9.9999999999999978E-2</v>
      </c>
      <c r="C50" s="52">
        <f t="shared" si="1"/>
        <v>1.0052249789354211</v>
      </c>
      <c r="D50" s="52">
        <f t="shared" si="2"/>
        <v>2.8901907444638613</v>
      </c>
      <c r="E50" s="82">
        <v>93.692089729556599</v>
      </c>
      <c r="F50" s="44">
        <f t="shared" si="3"/>
        <v>647.21817669509335</v>
      </c>
      <c r="G50" s="44">
        <f t="shared" si="4"/>
        <v>603.63455311643122</v>
      </c>
      <c r="H50" s="52">
        <f t="shared" ref="H50:I50" si="28">A50*C50*F50</f>
        <v>585.5398902314522</v>
      </c>
      <c r="I50" s="52">
        <f t="shared" si="28"/>
        <v>174.46189984556884</v>
      </c>
      <c r="J50" s="52">
        <f t="shared" si="6"/>
        <v>760.00179007702104</v>
      </c>
      <c r="K50" s="74">
        <f t="shared" si="7"/>
        <v>1.0000023553645014</v>
      </c>
      <c r="L50" s="90">
        <f t="shared" si="8"/>
        <v>0.77044722398875287</v>
      </c>
      <c r="M50" s="90">
        <f t="shared" si="9"/>
        <v>0.22955277601124713</v>
      </c>
      <c r="N50" s="48">
        <f t="shared" si="10"/>
        <v>0.9</v>
      </c>
    </row>
    <row r="51" spans="1:14" ht="12.75">
      <c r="A51" s="51">
        <v>0.95</v>
      </c>
      <c r="B51" s="48">
        <f t="shared" si="0"/>
        <v>5.0000000000000044E-2</v>
      </c>
      <c r="C51" s="52">
        <f t="shared" si="1"/>
        <v>1.0012239459487773</v>
      </c>
      <c r="D51" s="52">
        <f t="shared" si="2"/>
        <v>3.0350624147669141</v>
      </c>
      <c r="E51" s="82">
        <v>95.5214196803134</v>
      </c>
      <c r="F51" s="44">
        <f t="shared" si="3"/>
        <v>695.9672457186698</v>
      </c>
      <c r="G51" s="44">
        <f t="shared" si="4"/>
        <v>645.94511741857013</v>
      </c>
      <c r="H51" s="52">
        <f t="shared" ref="H51:I51" si="29">A51*C51*F51</f>
        <v>661.97811840907139</v>
      </c>
      <c r="I51" s="52">
        <f t="shared" si="29"/>
        <v>98.024187393965263</v>
      </c>
      <c r="J51" s="52">
        <f t="shared" si="6"/>
        <v>760.00230580303662</v>
      </c>
      <c r="K51" s="74">
        <f t="shared" si="7"/>
        <v>1.0000030339513639</v>
      </c>
      <c r="L51" s="90">
        <f t="shared" si="8"/>
        <v>0.871023840011936</v>
      </c>
      <c r="M51" s="90">
        <f t="shared" si="9"/>
        <v>0.128976159988064</v>
      </c>
      <c r="N51" s="48">
        <f t="shared" si="10"/>
        <v>0.95</v>
      </c>
    </row>
    <row r="52" spans="1:14" ht="12.75">
      <c r="A52" s="51">
        <v>1</v>
      </c>
      <c r="B52" s="48">
        <f t="shared" si="0"/>
        <v>0</v>
      </c>
      <c r="C52" s="52">
        <f t="shared" si="1"/>
        <v>1</v>
      </c>
      <c r="D52" s="52">
        <f t="shared" si="2"/>
        <v>3.1810139558187642</v>
      </c>
      <c r="E52" s="82">
        <v>97.766791244787498</v>
      </c>
      <c r="F52" s="44">
        <f t="shared" si="3"/>
        <v>760.0016289069132</v>
      </c>
      <c r="G52" s="44">
        <f t="shared" si="4"/>
        <v>701.23589640754278</v>
      </c>
      <c r="H52" s="52">
        <f t="shared" ref="H52:I52" si="30">A52*C52*F52</f>
        <v>760.0016289069132</v>
      </c>
      <c r="I52" s="52">
        <f t="shared" si="30"/>
        <v>0</v>
      </c>
      <c r="J52" s="52">
        <f t="shared" si="6"/>
        <v>760.0016289069132</v>
      </c>
      <c r="K52" s="74">
        <f t="shared" si="7"/>
        <v>1.00000214329857</v>
      </c>
      <c r="L52" s="90">
        <f t="shared" si="8"/>
        <v>1.00000214329857</v>
      </c>
      <c r="M52" s="90">
        <f t="shared" si="9"/>
        <v>-2.1432985699565421E-6</v>
      </c>
      <c r="N52" s="48">
        <f t="shared" si="10"/>
        <v>1</v>
      </c>
    </row>
    <row r="53" spans="1:14" ht="12.75">
      <c r="A53" s="412" t="s">
        <v>145</v>
      </c>
      <c r="B53" s="413"/>
      <c r="C53" s="413"/>
      <c r="E53" s="412" t="s">
        <v>146</v>
      </c>
      <c r="F53" s="413"/>
      <c r="G53" s="413"/>
      <c r="H53" s="413"/>
      <c r="I53" s="413"/>
      <c r="J53" s="413"/>
    </row>
    <row r="54" spans="1:14" ht="15.75" customHeight="1">
      <c r="A54" s="413"/>
      <c r="B54" s="413"/>
      <c r="C54" s="413"/>
      <c r="E54" s="413"/>
      <c r="F54" s="413"/>
      <c r="G54" s="413"/>
      <c r="H54" s="413"/>
      <c r="I54" s="413"/>
      <c r="J54" s="413"/>
    </row>
    <row r="55" spans="1:14" ht="12.75">
      <c r="A55" s="35"/>
      <c r="E55" s="413"/>
      <c r="F55" s="413"/>
      <c r="G55" s="413"/>
      <c r="H55" s="413"/>
      <c r="I55" s="413"/>
      <c r="J55" s="413"/>
    </row>
    <row r="56" spans="1:14" ht="12.75">
      <c r="A56" s="35"/>
      <c r="E56" s="34" t="s">
        <v>147</v>
      </c>
    </row>
    <row r="57" spans="1:14" ht="12.75">
      <c r="A57" s="35"/>
      <c r="E57" s="138" t="s">
        <v>148</v>
      </c>
    </row>
    <row r="58" spans="1:14" ht="12.75">
      <c r="A58" s="35"/>
    </row>
    <row r="59" spans="1:14" ht="12.75">
      <c r="A59" s="35"/>
    </row>
    <row r="60" spans="1:14" ht="12.75">
      <c r="A60" s="35"/>
    </row>
    <row r="61" spans="1:14" ht="12.75">
      <c r="A61" s="35"/>
    </row>
  </sheetData>
  <mergeCells count="4">
    <mergeCell ref="B6:D6"/>
    <mergeCell ref="A24:A26"/>
    <mergeCell ref="E53:J55"/>
    <mergeCell ref="A53:C54"/>
  </mergeCells>
  <conditionalFormatting sqref="K32:K52">
    <cfRule type="cellIs" dxfId="0" priority="1" operator="notBetween">
      <formula>1.01</formula>
      <formula>0.99</formula>
    </cfRule>
  </conditionalFormatting>
  <hyperlinks>
    <hyperlink ref="M2" r:id="rId1"/>
    <hyperlink ref="E57" r:id="rId2"/>
  </hyperlinks>
  <pageMargins left="0.7" right="0.7" top="0.75" bottom="0.75" header="0.3" footer="0.3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'Datos para equilibrio'!$A$5:$A$23</xm:f>
          </x14:formula1>
          <xm:sqref>B6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B5394"/>
    <outlinePr summaryBelow="0" summaryRight="0"/>
  </sheetPr>
  <dimension ref="A1:R800"/>
  <sheetViews>
    <sheetView showGridLines="0" topLeftCell="A233" workbookViewId="0">
      <selection activeCell="I14" sqref="I14"/>
    </sheetView>
  </sheetViews>
  <sheetFormatPr baseColWidth="10" defaultColWidth="14.42578125" defaultRowHeight="15.75" customHeight="1"/>
  <cols>
    <col min="1" max="1" width="11.5703125" customWidth="1"/>
    <col min="5" max="5" width="11.5703125" customWidth="1"/>
    <col min="9" max="9" width="11.5703125" customWidth="1"/>
    <col min="13" max="13" width="11.5703125" customWidth="1"/>
  </cols>
  <sheetData>
    <row r="1" spans="1:18" ht="12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30">
      <c r="A2" s="5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6.25" customHeight="1">
      <c r="B3" s="6"/>
      <c r="F3" s="6"/>
      <c r="I3" s="7" t="s">
        <v>3</v>
      </c>
      <c r="J3" s="8" t="s">
        <v>4</v>
      </c>
      <c r="K3" s="9"/>
      <c r="N3" s="6"/>
    </row>
    <row r="4" spans="1:18" ht="12.75">
      <c r="A4" s="415" t="s">
        <v>5</v>
      </c>
      <c r="B4" s="406"/>
      <c r="C4" s="404"/>
      <c r="D4" s="10" t="s">
        <v>6</v>
      </c>
      <c r="E4" s="10" t="s">
        <v>7</v>
      </c>
      <c r="F4" s="6"/>
      <c r="I4" s="11" t="s">
        <v>8</v>
      </c>
      <c r="J4" s="12" t="s">
        <v>9</v>
      </c>
      <c r="K4" s="11" t="s">
        <v>10</v>
      </c>
      <c r="M4" s="10" t="s">
        <v>11</v>
      </c>
      <c r="N4" s="6"/>
    </row>
    <row r="5" spans="1:18" ht="12.75">
      <c r="A5" s="414" t="s">
        <v>12</v>
      </c>
      <c r="B5" s="406"/>
      <c r="C5" s="404"/>
      <c r="D5" s="13" t="str">
        <f ca="1">CELL("address",A31)</f>
        <v>$A$31</v>
      </c>
      <c r="E5" s="13" t="str">
        <f ca="1">CELL("address",A163)</f>
        <v>$A$163</v>
      </c>
      <c r="F5" s="14"/>
      <c r="I5" s="15">
        <f>'Datos del usuario'!H7</f>
        <v>0</v>
      </c>
      <c r="J5" s="16">
        <f>'Datos del usuario'!I7</f>
        <v>0</v>
      </c>
      <c r="K5" s="15">
        <f>'Datos del usuario'!G7</f>
        <v>76.7</v>
      </c>
      <c r="M5" s="13">
        <f>IF(SISTEMA="Usuario: Datos ingresados ",User.Ptrab,1)</f>
        <v>1</v>
      </c>
      <c r="N5" s="19"/>
    </row>
    <row r="6" spans="1:18" ht="12.75">
      <c r="A6" s="414" t="s">
        <v>22</v>
      </c>
      <c r="B6" s="406"/>
      <c r="C6" s="404"/>
      <c r="D6" s="13" t="str">
        <f ca="1">CELL("address",E31)</f>
        <v>$E$31</v>
      </c>
      <c r="E6" s="13" t="str">
        <f ca="1">CELL("address",E163)</f>
        <v>$E$163</v>
      </c>
      <c r="F6" s="14"/>
      <c r="I6" s="15">
        <f>'Datos del usuario'!H8</f>
        <v>1.4800000000000001E-2</v>
      </c>
      <c r="J6" s="16">
        <f>'Datos del usuario'!I8</f>
        <v>4.1200000000000001E-2</v>
      </c>
      <c r="K6" s="15">
        <f>'Datos del usuario'!G8</f>
        <v>75.8</v>
      </c>
      <c r="M6" s="13">
        <f>IF(SISTEMA="Usuario: Datos ingresados ",,0.978)</f>
        <v>0</v>
      </c>
      <c r="N6" s="6"/>
    </row>
    <row r="7" spans="1:18" ht="12.75">
      <c r="A7" s="414" t="s">
        <v>25</v>
      </c>
      <c r="B7" s="406"/>
      <c r="C7" s="404"/>
      <c r="D7" s="13" t="str">
        <f ca="1">CELL("address",I31)</f>
        <v>$I$31</v>
      </c>
      <c r="E7" s="13" t="str">
        <f ca="1">CELL("address",I163)</f>
        <v>$I$163</v>
      </c>
      <c r="F7" s="14"/>
      <c r="I7" s="15">
        <f>'Datos del usuario'!H9</f>
        <v>2.9600000000000001E-2</v>
      </c>
      <c r="J7" s="16">
        <f>'Datos del usuario'!I9</f>
        <v>8.2299999999999998E-2</v>
      </c>
      <c r="K7" s="15">
        <f>'Datos del usuario'!G9</f>
        <v>74.900000000000006</v>
      </c>
      <c r="N7" s="6"/>
    </row>
    <row r="8" spans="1:18" ht="12.75">
      <c r="A8" s="414" t="s">
        <v>28</v>
      </c>
      <c r="B8" s="406"/>
      <c r="C8" s="404"/>
      <c r="D8" s="13" t="str">
        <f ca="1">CELL("address",M31)</f>
        <v>$M$31</v>
      </c>
      <c r="E8" s="13" t="str">
        <f ca="1">CELL("address",M163)</f>
        <v>$M$163</v>
      </c>
      <c r="F8" s="14"/>
      <c r="I8" s="15">
        <f>'Datos del usuario'!H10</f>
        <v>4.5600000000000002E-2</v>
      </c>
      <c r="J8" s="16">
        <f>'Datos del usuario'!I10</f>
        <v>0.11890000000000001</v>
      </c>
      <c r="K8" s="15">
        <f>'Datos del usuario'!G10</f>
        <v>74</v>
      </c>
      <c r="N8" s="6"/>
    </row>
    <row r="9" spans="1:18" ht="12.75">
      <c r="A9" s="414" t="s">
        <v>32</v>
      </c>
      <c r="B9" s="406"/>
      <c r="C9" s="404"/>
      <c r="D9" s="13" t="str">
        <f ca="1">CELL("address",A57)</f>
        <v>$A$57</v>
      </c>
      <c r="E9" s="13" t="str">
        <f ca="1">CELL("address",A189)</f>
        <v>$A$189</v>
      </c>
      <c r="F9" s="14"/>
      <c r="I9" s="15">
        <f>'Datos del usuario'!H11</f>
        <v>6.1499999999999999E-2</v>
      </c>
      <c r="J9" s="16">
        <f>'Datos del usuario'!I11</f>
        <v>0.1555</v>
      </c>
      <c r="K9" s="15">
        <f>'Datos del usuario'!G11</f>
        <v>73.099999999999994</v>
      </c>
      <c r="N9" s="6"/>
    </row>
    <row r="10" spans="1:18" ht="12.75">
      <c r="A10" s="414" t="s">
        <v>35</v>
      </c>
      <c r="B10" s="406"/>
      <c r="C10" s="404"/>
      <c r="D10" s="13" t="str">
        <f ca="1">CELL("address",E57)</f>
        <v>$E$57</v>
      </c>
      <c r="E10" s="13" t="str">
        <f ca="1">CELL("address",E189)</f>
        <v>$E$189</v>
      </c>
      <c r="F10" s="14"/>
      <c r="I10" s="15">
        <f>'Datos del usuario'!H12</f>
        <v>8.6099999999999996E-2</v>
      </c>
      <c r="J10" s="16">
        <f>'Datos del usuario'!I12</f>
        <v>0.21079999999999999</v>
      </c>
      <c r="K10" s="15">
        <f>'Datos del usuario'!G12</f>
        <v>71.7</v>
      </c>
      <c r="N10" s="6"/>
    </row>
    <row r="11" spans="1:18" ht="12.75">
      <c r="A11" s="414" t="s">
        <v>38</v>
      </c>
      <c r="B11" s="406"/>
      <c r="C11" s="404"/>
      <c r="D11" s="13" t="str">
        <f ca="1">CELL("address",I57)</f>
        <v>$I$57</v>
      </c>
      <c r="E11" s="13" t="str">
        <f ca="1">CELL("address",I189)</f>
        <v>$I$189</v>
      </c>
      <c r="F11" s="14"/>
      <c r="I11" s="15">
        <f>'Datos del usuario'!H13</f>
        <v>0.1106</v>
      </c>
      <c r="J11" s="16">
        <f>'Datos del usuario'!I13</f>
        <v>0.26600000000000001</v>
      </c>
      <c r="K11" s="15">
        <f>'Datos del usuario'!G13</f>
        <v>70.3</v>
      </c>
      <c r="N11" s="6"/>
    </row>
    <row r="12" spans="1:18" ht="12.75">
      <c r="A12" s="414" t="s">
        <v>39</v>
      </c>
      <c r="B12" s="406"/>
      <c r="C12" s="404"/>
      <c r="D12" s="13" t="str">
        <f ca="1">CELL("address",M57)</f>
        <v>$M$57</v>
      </c>
      <c r="E12" s="13" t="str">
        <f ca="1">CELL("address",M189)</f>
        <v>$M$189</v>
      </c>
      <c r="F12" s="14"/>
      <c r="I12" s="15">
        <f>'Datos del usuario'!H14</f>
        <v>0.14349999999999999</v>
      </c>
      <c r="J12" s="16">
        <f>'Datos del usuario'!I14</f>
        <v>0.33250000000000002</v>
      </c>
      <c r="K12" s="15">
        <f>'Datos del usuario'!G14</f>
        <v>68.599999999999994</v>
      </c>
      <c r="N12" s="6"/>
    </row>
    <row r="13" spans="1:18" ht="12.75">
      <c r="A13" s="414" t="s">
        <v>41</v>
      </c>
      <c r="B13" s="406"/>
      <c r="C13" s="404"/>
      <c r="D13" s="13" t="str">
        <f ca="1">CELL("address",A83)</f>
        <v>$A$83</v>
      </c>
      <c r="E13" s="13" t="str">
        <f ca="1">CELL("address",A215)</f>
        <v>$A$215</v>
      </c>
      <c r="F13" s="14"/>
      <c r="I13" s="15">
        <f>'Datos del usuario'!H15</f>
        <v>0.20100000000000001</v>
      </c>
      <c r="J13" s="16">
        <f>'Datos del usuario'!I15</f>
        <v>0.4138</v>
      </c>
      <c r="K13" s="15">
        <f>'Datos del usuario'!G15</f>
        <v>66.2</v>
      </c>
      <c r="N13" s="6"/>
    </row>
    <row r="14" spans="1:18" ht="12.75">
      <c r="A14" s="414" t="s">
        <v>44</v>
      </c>
      <c r="B14" s="406"/>
      <c r="C14" s="404"/>
      <c r="D14" s="13" t="str">
        <f ca="1">CELL("address",E83)</f>
        <v>$E$83</v>
      </c>
      <c r="E14" s="13" t="str">
        <f ca="1">CELL("address",E215)</f>
        <v>$E$215</v>
      </c>
      <c r="F14" s="14"/>
      <c r="I14" s="15">
        <f>'Datos del usuario'!H16</f>
        <v>0.25850000000000001</v>
      </c>
      <c r="J14" s="16">
        <f>'Datos del usuario'!I16</f>
        <v>0.495</v>
      </c>
      <c r="K14" s="15">
        <f>'Datos del usuario'!G16</f>
        <v>63.8</v>
      </c>
      <c r="N14" s="6"/>
    </row>
    <row r="15" spans="1:18" ht="12.75">
      <c r="A15" s="414" t="s">
        <v>46</v>
      </c>
      <c r="B15" s="406"/>
      <c r="C15" s="404"/>
      <c r="D15" s="13" t="str">
        <f ca="1">CELL("address",I83)</f>
        <v>$I$83</v>
      </c>
      <c r="E15" s="13" t="str">
        <f ca="1">CELL("address",I215)</f>
        <v>$I$215</v>
      </c>
      <c r="F15" s="14"/>
      <c r="I15" s="15">
        <f>'Datos del usuario'!H17</f>
        <v>0.39079999999999998</v>
      </c>
      <c r="J15" s="16">
        <f>'Datos del usuario'!I17</f>
        <v>0.63400000000000001</v>
      </c>
      <c r="K15" s="15">
        <f>'Datos del usuario'!G17</f>
        <v>59.3</v>
      </c>
      <c r="N15" s="6"/>
    </row>
    <row r="16" spans="1:18" ht="12.75">
      <c r="A16" s="414" t="s">
        <v>47</v>
      </c>
      <c r="B16" s="406"/>
      <c r="C16" s="404"/>
      <c r="D16" s="13" t="str">
        <f ca="1">CELL("address",M83)</f>
        <v>$M$83</v>
      </c>
      <c r="E16" s="13" t="str">
        <f ca="1">CELL("address",M215)</f>
        <v>$M$215</v>
      </c>
      <c r="F16" s="14"/>
      <c r="I16" s="15">
        <f>'Datos del usuario'!H18</f>
        <v>0.46129999999999999</v>
      </c>
      <c r="J16" s="16">
        <f>'Datos del usuario'!I18</f>
        <v>0.6905</v>
      </c>
      <c r="K16" s="15">
        <f>'Datos del usuario'!G18</f>
        <v>57.3</v>
      </c>
      <c r="N16" s="6"/>
    </row>
    <row r="17" spans="1:16" ht="12.75">
      <c r="A17" s="414" t="s">
        <v>48</v>
      </c>
      <c r="B17" s="406"/>
      <c r="C17" s="404"/>
      <c r="D17" s="13" t="str">
        <f ca="1">CELL("address",A109)</f>
        <v>$A$109</v>
      </c>
      <c r="E17" s="13" t="str">
        <f ca="1">CELL("address",A241)</f>
        <v>$A$241</v>
      </c>
      <c r="F17" s="14"/>
      <c r="I17" s="15">
        <f>'Datos del usuario'!H19</f>
        <v>0.53180000000000005</v>
      </c>
      <c r="J17" s="16">
        <f>'Datos del usuario'!I19</f>
        <v>0.747</v>
      </c>
      <c r="K17" s="15">
        <f>'Datos del usuario'!G19</f>
        <v>55.3</v>
      </c>
      <c r="N17" s="6"/>
    </row>
    <row r="18" spans="1:16" ht="12.75">
      <c r="A18" s="414" t="s">
        <v>51</v>
      </c>
      <c r="B18" s="406"/>
      <c r="C18" s="404"/>
      <c r="D18" s="13" t="str">
        <f ca="1">CELL("address",E109)</f>
        <v>$E$109</v>
      </c>
      <c r="E18" s="13" t="str">
        <f ca="1">CELL("address",E241)</f>
        <v>$E$241</v>
      </c>
      <c r="F18" s="14"/>
      <c r="I18" s="15">
        <f>'Datos del usuario'!H20</f>
        <v>0.59740000000000004</v>
      </c>
      <c r="J18" s="16">
        <f>'Datos del usuario'!I20</f>
        <v>0.78800000000000003</v>
      </c>
      <c r="K18" s="15">
        <f>'Datos del usuario'!G20</f>
        <v>53.8</v>
      </c>
      <c r="N18" s="6"/>
    </row>
    <row r="19" spans="1:16" ht="12.75">
      <c r="A19" s="414" t="s">
        <v>52</v>
      </c>
      <c r="B19" s="406"/>
      <c r="C19" s="404"/>
      <c r="D19" s="13" t="str">
        <f ca="1">CELL("address",I109)</f>
        <v>$I$109</v>
      </c>
      <c r="E19" s="13" t="str">
        <f ca="1">CELL("address",I241)</f>
        <v>$I$241</v>
      </c>
      <c r="F19" s="14"/>
      <c r="I19" s="15">
        <f>'Datos del usuario'!H21</f>
        <v>0.66300000000000003</v>
      </c>
      <c r="J19" s="16">
        <f>'Datos del usuario'!I21</f>
        <v>0.82899999999999996</v>
      </c>
      <c r="K19" s="15">
        <f>'Datos del usuario'!G21</f>
        <v>52.3</v>
      </c>
      <c r="N19" s="6"/>
    </row>
    <row r="20" spans="1:16" ht="12.75">
      <c r="A20" s="414" t="s">
        <v>54</v>
      </c>
      <c r="B20" s="406"/>
      <c r="C20" s="404"/>
      <c r="D20" s="13" t="str">
        <f ca="1">CELL("address",M109)</f>
        <v>$M$109</v>
      </c>
      <c r="E20" s="13" t="str">
        <f ca="1">CELL("address",M241)</f>
        <v>$M$241</v>
      </c>
      <c r="F20" s="14"/>
      <c r="I20" s="15">
        <f>'Datos del usuario'!H22</f>
        <v>0.71020000000000005</v>
      </c>
      <c r="J20" s="16">
        <f>'Datos del usuario'!I22</f>
        <v>0.85350000000000004</v>
      </c>
      <c r="K20" s="15">
        <f>'Datos del usuario'!G22</f>
        <v>51.35</v>
      </c>
      <c r="N20" s="6"/>
    </row>
    <row r="21" spans="1:16" ht="12.75">
      <c r="A21" s="414" t="s">
        <v>55</v>
      </c>
      <c r="B21" s="406"/>
      <c r="C21" s="404"/>
      <c r="D21" s="13" t="str">
        <f ca="1">CELL("address",A135)</f>
        <v>$A$135</v>
      </c>
      <c r="E21" s="13" t="str">
        <f ca="1">CELL("address",A267)</f>
        <v>$A$267</v>
      </c>
      <c r="F21" s="14"/>
      <c r="I21" s="15">
        <f>'Datos del usuario'!H23</f>
        <v>0.75739999999999996</v>
      </c>
      <c r="J21" s="16">
        <f>'Datos del usuario'!I23</f>
        <v>0.878</v>
      </c>
      <c r="K21" s="15">
        <f>'Datos del usuario'!G23</f>
        <v>50.4</v>
      </c>
      <c r="N21" s="6"/>
    </row>
    <row r="22" spans="1:16" ht="12.75">
      <c r="A22" s="414" t="s">
        <v>57</v>
      </c>
      <c r="B22" s="406"/>
      <c r="C22" s="404"/>
      <c r="D22" s="13" t="str">
        <f ca="1">CELL("address",E135)</f>
        <v>$E$135</v>
      </c>
      <c r="E22" s="13" t="str">
        <f ca="1">CELL("address",E267)</f>
        <v>$E$267</v>
      </c>
      <c r="F22" s="14"/>
      <c r="I22" s="15">
        <f>'Datos del usuario'!H24</f>
        <v>0.80889999999999995</v>
      </c>
      <c r="J22" s="16">
        <f>'Datos del usuario'!I24</f>
        <v>0.90500000000000003</v>
      </c>
      <c r="K22" s="15">
        <f>'Datos del usuario'!G24</f>
        <v>49.36</v>
      </c>
      <c r="N22" s="6"/>
    </row>
    <row r="23" spans="1:16" ht="12.75">
      <c r="A23" s="414" t="s">
        <v>59</v>
      </c>
      <c r="B23" s="406"/>
      <c r="C23" s="406"/>
      <c r="D23" s="13" t="str">
        <f ca="1">CELL("address",I135)</f>
        <v>$I$135</v>
      </c>
      <c r="E23" s="13" t="str">
        <f ca="1">CELL("address",I267)</f>
        <v>$I$267</v>
      </c>
      <c r="F23" s="6"/>
      <c r="I23" s="15">
        <f>'Datos del usuario'!H25</f>
        <v>0.86040000000000005</v>
      </c>
      <c r="J23" s="16">
        <f>'Datos del usuario'!I25</f>
        <v>0.93200000000000005</v>
      </c>
      <c r="K23" s="15">
        <f>'Datos del usuario'!G25</f>
        <v>48.5</v>
      </c>
      <c r="N23" s="6"/>
    </row>
    <row r="24" spans="1:16" ht="12.75">
      <c r="A24" s="414" t="s">
        <v>102</v>
      </c>
      <c r="B24" s="406"/>
      <c r="C24" s="406"/>
      <c r="D24" s="13" t="str">
        <f ca="1">CELL("address",I5)</f>
        <v>$I$5</v>
      </c>
      <c r="E24" s="13" t="str">
        <f ca="1">CELL("address",I5)</f>
        <v>$I$5</v>
      </c>
      <c r="F24" s="6"/>
      <c r="I24" s="15">
        <f>'Datos del usuario'!H26</f>
        <v>0.93020000000000003</v>
      </c>
      <c r="J24" s="16">
        <f>'Datos del usuario'!I26</f>
        <v>0.96599999999999997</v>
      </c>
      <c r="K24" s="15">
        <f>'Datos del usuario'!G26</f>
        <v>47.4</v>
      </c>
      <c r="N24" s="6"/>
    </row>
    <row r="25" spans="1:16" ht="12.75">
      <c r="B25" s="6"/>
      <c r="D25" s="14"/>
      <c r="F25" s="6"/>
      <c r="I25" s="15">
        <f>'Datos del usuario'!H27</f>
        <v>1</v>
      </c>
      <c r="J25" s="16">
        <f>'Datos del usuario'!I27</f>
        <v>1</v>
      </c>
      <c r="K25" s="15">
        <f>'Datos del usuario'!G27</f>
        <v>46.3</v>
      </c>
      <c r="N25" s="6"/>
    </row>
    <row r="26" spans="1:16" ht="12.75">
      <c r="B26" s="6"/>
      <c r="D26" s="14"/>
      <c r="F26" s="6"/>
      <c r="N26" s="6"/>
    </row>
    <row r="27" spans="1:16">
      <c r="A27" s="54" t="s">
        <v>103</v>
      </c>
      <c r="B27" s="55"/>
      <c r="C27" s="56"/>
      <c r="D27" s="73"/>
      <c r="E27" s="56"/>
      <c r="F27" s="55"/>
      <c r="G27" s="56"/>
      <c r="H27" s="56"/>
      <c r="I27" s="56"/>
      <c r="J27" s="55"/>
      <c r="K27" s="56"/>
      <c r="L27" s="56"/>
      <c r="M27" s="56"/>
      <c r="N27" s="55"/>
      <c r="O27" s="56"/>
      <c r="P27" s="56"/>
    </row>
    <row r="28" spans="1:16">
      <c r="A28" s="7" t="s">
        <v>3</v>
      </c>
      <c r="B28" s="8" t="s">
        <v>12</v>
      </c>
      <c r="C28" s="9"/>
      <c r="D28" s="9"/>
      <c r="E28" s="7" t="s">
        <v>3</v>
      </c>
      <c r="F28" s="8" t="s">
        <v>22</v>
      </c>
      <c r="G28" s="9"/>
      <c r="I28" s="7" t="s">
        <v>3</v>
      </c>
      <c r="J28" s="8" t="s">
        <v>25</v>
      </c>
      <c r="K28" s="9"/>
      <c r="L28" s="9"/>
      <c r="M28" s="7" t="s">
        <v>3</v>
      </c>
      <c r="N28" s="8" t="s">
        <v>28</v>
      </c>
      <c r="O28" s="9"/>
    </row>
    <row r="29" spans="1:16" ht="15">
      <c r="A29" s="9"/>
      <c r="B29" s="8"/>
      <c r="C29" s="9"/>
      <c r="D29" s="9"/>
      <c r="E29" s="9"/>
      <c r="F29" s="8"/>
      <c r="G29" s="9"/>
      <c r="I29" s="9"/>
      <c r="J29" s="8"/>
      <c r="K29" s="9"/>
      <c r="L29" s="9"/>
      <c r="M29" s="9"/>
      <c r="N29" s="8"/>
      <c r="O29" s="9"/>
    </row>
    <row r="30" spans="1:16" ht="12.75">
      <c r="A30" s="11" t="s">
        <v>8</v>
      </c>
      <c r="B30" s="12" t="s">
        <v>9</v>
      </c>
      <c r="C30" s="11" t="s">
        <v>10</v>
      </c>
      <c r="E30" s="11" t="s">
        <v>8</v>
      </c>
      <c r="F30" s="12" t="s">
        <v>9</v>
      </c>
      <c r="G30" s="11" t="s">
        <v>10</v>
      </c>
      <c r="I30" s="11" t="s">
        <v>8</v>
      </c>
      <c r="J30" s="12" t="s">
        <v>9</v>
      </c>
      <c r="K30" s="11" t="s">
        <v>10</v>
      </c>
      <c r="M30" s="11" t="s">
        <v>8</v>
      </c>
      <c r="N30" s="12" t="s">
        <v>9</v>
      </c>
      <c r="O30" s="11" t="s">
        <v>10</v>
      </c>
    </row>
    <row r="31" spans="1:16" ht="12.75">
      <c r="A31" s="15">
        <v>0</v>
      </c>
      <c r="B31" s="16">
        <v>0</v>
      </c>
      <c r="C31" s="15">
        <v>99.996906799874495</v>
      </c>
      <c r="E31" s="15">
        <v>0</v>
      </c>
      <c r="F31" s="75">
        <v>0</v>
      </c>
      <c r="G31" s="15">
        <v>99.996906799874495</v>
      </c>
      <c r="I31" s="15">
        <v>0</v>
      </c>
      <c r="J31" s="75">
        <v>0</v>
      </c>
      <c r="K31" s="15">
        <v>78.569691295418494</v>
      </c>
      <c r="M31" s="15">
        <v>0</v>
      </c>
      <c r="N31" s="75">
        <v>0</v>
      </c>
      <c r="O31" s="15">
        <v>64.547789864844404</v>
      </c>
    </row>
    <row r="32" spans="1:16" ht="12.75">
      <c r="A32" s="15">
        <v>0.05</v>
      </c>
      <c r="B32" s="16">
        <v>0.34685166341184392</v>
      </c>
      <c r="C32" s="15">
        <v>89.4484648300934</v>
      </c>
      <c r="E32" s="15">
        <v>0.05</v>
      </c>
      <c r="F32" s="75">
        <v>0.42093372300817627</v>
      </c>
      <c r="G32" s="15">
        <v>86.418281448398503</v>
      </c>
      <c r="I32" s="15">
        <v>0.05</v>
      </c>
      <c r="J32" s="75">
        <v>0.10674015585089876</v>
      </c>
      <c r="K32" s="15">
        <v>76.971059210133802</v>
      </c>
      <c r="M32" s="15">
        <v>0.05</v>
      </c>
      <c r="N32" s="75">
        <v>0.14190471456351331</v>
      </c>
      <c r="O32" s="15">
        <v>61.9267254780288</v>
      </c>
    </row>
    <row r="33" spans="1:15" ht="12.75">
      <c r="A33" s="15">
        <v>0.1</v>
      </c>
      <c r="B33" s="16">
        <v>0.39620152072463832</v>
      </c>
      <c r="C33" s="15">
        <v>87.786227789838406</v>
      </c>
      <c r="E33" s="15">
        <v>0.1</v>
      </c>
      <c r="F33" s="75">
        <v>0.49946438062801157</v>
      </c>
      <c r="G33" s="15">
        <v>83.282937277415797</v>
      </c>
      <c r="I33" s="15">
        <v>0.1</v>
      </c>
      <c r="J33" s="75">
        <v>0.18804764383907657</v>
      </c>
      <c r="K33" s="15">
        <v>75.773422519313499</v>
      </c>
      <c r="M33" s="15">
        <v>0.1</v>
      </c>
      <c r="N33" s="75">
        <v>0.24380020173445954</v>
      </c>
      <c r="O33" s="15">
        <v>59.959815756351801</v>
      </c>
    </row>
    <row r="34" spans="1:15" ht="12.75">
      <c r="A34" s="15">
        <v>0.15</v>
      </c>
      <c r="B34" s="16">
        <v>0.40251292449446491</v>
      </c>
      <c r="C34" s="15">
        <v>87.592822640634296</v>
      </c>
      <c r="E34" s="15">
        <v>0.15</v>
      </c>
      <c r="F34" s="75">
        <v>0.52467108508596128</v>
      </c>
      <c r="G34" s="15">
        <v>82.2961661515983</v>
      </c>
      <c r="I34" s="15">
        <v>0.15</v>
      </c>
      <c r="J34" s="75">
        <v>0.25241405392475236</v>
      </c>
      <c r="K34" s="15">
        <v>74.866205384283504</v>
      </c>
      <c r="M34" s="15">
        <v>0.15</v>
      </c>
      <c r="N34" s="75">
        <v>0.32025183678520258</v>
      </c>
      <c r="O34" s="15">
        <v>58.462217764862103</v>
      </c>
    </row>
    <row r="35" spans="1:15" ht="12.75">
      <c r="A35" s="15">
        <v>0.2</v>
      </c>
      <c r="B35" s="16">
        <v>0.39927033499480152</v>
      </c>
      <c r="C35" s="15">
        <v>87.669299434290195</v>
      </c>
      <c r="E35" s="15">
        <v>0.2</v>
      </c>
      <c r="F35" s="75">
        <v>0.5347307086677382</v>
      </c>
      <c r="G35" s="15">
        <v>81.937071832656599</v>
      </c>
      <c r="I35" s="15">
        <v>0.2</v>
      </c>
      <c r="J35" s="75">
        <v>0.30515961974902661</v>
      </c>
      <c r="K35" s="15">
        <v>74.173920834074494</v>
      </c>
      <c r="M35" s="15">
        <v>0.2</v>
      </c>
      <c r="N35" s="75">
        <v>0.37977423554470036</v>
      </c>
      <c r="O35" s="15">
        <v>57.309309176442</v>
      </c>
    </row>
    <row r="36" spans="1:15" ht="12.75">
      <c r="A36" s="15">
        <v>0.25</v>
      </c>
      <c r="B36" s="16">
        <v>0.39540310171682586</v>
      </c>
      <c r="C36" s="15">
        <v>87.740759979081602</v>
      </c>
      <c r="E36" s="15">
        <v>0.25</v>
      </c>
      <c r="F36" s="75">
        <v>0.54046505202118256</v>
      </c>
      <c r="G36" s="15">
        <v>81.757792588930997</v>
      </c>
      <c r="I36" s="15">
        <v>0.25</v>
      </c>
      <c r="J36" s="75">
        <v>0.34979448756035941</v>
      </c>
      <c r="K36" s="15">
        <v>73.644159461711794</v>
      </c>
      <c r="M36" s="15">
        <v>0.25</v>
      </c>
      <c r="N36" s="75">
        <v>0.42765947164400842</v>
      </c>
      <c r="O36" s="15">
        <v>56.414318482821102</v>
      </c>
    </row>
    <row r="37" spans="1:15" ht="12.75">
      <c r="A37" s="15">
        <v>0.3</v>
      </c>
      <c r="B37" s="16">
        <v>0.39386966153240283</v>
      </c>
      <c r="C37" s="15">
        <v>87.761637253110493</v>
      </c>
      <c r="E37" s="15">
        <v>0.3</v>
      </c>
      <c r="F37" s="75">
        <v>0.54595775256985968</v>
      </c>
      <c r="G37" s="15">
        <v>81.611509752816403</v>
      </c>
      <c r="I37" s="15">
        <v>0.3</v>
      </c>
      <c r="J37" s="75">
        <v>0.38874355458777726</v>
      </c>
      <c r="K37" s="15">
        <v>73.240052708778805</v>
      </c>
      <c r="M37" s="15">
        <v>0.3</v>
      </c>
      <c r="N37" s="75">
        <v>0.46737761840480502</v>
      </c>
      <c r="O37" s="15">
        <v>55.715281572205498</v>
      </c>
    </row>
    <row r="38" spans="1:15" ht="12.75">
      <c r="A38" s="15">
        <v>0.35</v>
      </c>
      <c r="B38" s="16">
        <v>0.39572080837052692</v>
      </c>
      <c r="C38" s="15">
        <v>87.749578910810598</v>
      </c>
      <c r="E38" s="15">
        <v>0.35</v>
      </c>
      <c r="F38" s="75">
        <v>0.55299171028664451</v>
      </c>
      <c r="G38" s="15">
        <v>81.455223707544206</v>
      </c>
      <c r="I38" s="15">
        <v>0.35</v>
      </c>
      <c r="J38" s="75">
        <v>0.42375885944704295</v>
      </c>
      <c r="K38" s="15">
        <v>72.935792359277002</v>
      </c>
      <c r="M38" s="15">
        <v>0.35</v>
      </c>
      <c r="N38" s="75">
        <v>0.50131922383208249</v>
      </c>
      <c r="O38" s="15">
        <v>55.167200246381199</v>
      </c>
    </row>
    <row r="39" spans="1:15" ht="12.75">
      <c r="A39" s="15">
        <v>0.4</v>
      </c>
      <c r="B39" s="16">
        <v>0.40135514599892075</v>
      </c>
      <c r="C39" s="15">
        <v>87.737279949669102</v>
      </c>
      <c r="E39" s="15">
        <v>0.4</v>
      </c>
      <c r="F39" s="75">
        <v>0.5624264857579403</v>
      </c>
      <c r="G39" s="15">
        <v>81.284604457915904</v>
      </c>
      <c r="I39" s="15">
        <v>0.4</v>
      </c>
      <c r="J39" s="75">
        <v>0.45616764744787253</v>
      </c>
      <c r="K39" s="15">
        <v>72.713831604238706</v>
      </c>
      <c r="M39" s="15">
        <v>0.4</v>
      </c>
      <c r="N39" s="75">
        <v>0.53121566880967386</v>
      </c>
      <c r="O39" s="15">
        <v>54.737310883154898</v>
      </c>
    </row>
    <row r="40" spans="1:15" ht="12.75">
      <c r="A40" s="15">
        <v>0.45</v>
      </c>
      <c r="B40" s="16">
        <v>0.41098080844024676</v>
      </c>
      <c r="C40" s="15">
        <v>87.757879762296895</v>
      </c>
      <c r="E40" s="15">
        <v>0.45</v>
      </c>
      <c r="F40" s="75">
        <v>0.57472501883161675</v>
      </c>
      <c r="G40" s="15">
        <v>81.109443959617295</v>
      </c>
      <c r="I40" s="15">
        <v>0.45</v>
      </c>
      <c r="J40" s="75">
        <v>0.48702567175034361</v>
      </c>
      <c r="K40" s="15">
        <v>72.562840757397495</v>
      </c>
      <c r="M40" s="15">
        <v>0.45</v>
      </c>
      <c r="N40" s="75">
        <v>0.55838716376884412</v>
      </c>
      <c r="O40" s="15">
        <v>54.401934323490103</v>
      </c>
    </row>
    <row r="41" spans="1:15" ht="12.75">
      <c r="A41" s="15">
        <v>0.5</v>
      </c>
      <c r="B41" s="16">
        <v>0.42480178004964075</v>
      </c>
      <c r="C41" s="15">
        <v>87.840886021808998</v>
      </c>
      <c r="E41" s="15">
        <v>0.5</v>
      </c>
      <c r="F41" s="75">
        <v>0.59018459194653683</v>
      </c>
      <c r="G41" s="15">
        <v>80.943865402156703</v>
      </c>
      <c r="I41" s="15">
        <v>0.5</v>
      </c>
      <c r="J41" s="75">
        <v>0.51722161779768638</v>
      </c>
      <c r="K41" s="15">
        <v>72.476537050401106</v>
      </c>
      <c r="M41" s="15">
        <v>0.5</v>
      </c>
      <c r="N41" s="75">
        <v>0.5839026002765898</v>
      </c>
      <c r="O41" s="15">
        <v>54.144647739617298</v>
      </c>
    </row>
    <row r="42" spans="1:15" ht="13.5" customHeight="1">
      <c r="A42" s="15">
        <v>0.55000000000000004</v>
      </c>
      <c r="B42" s="16">
        <v>0.44311261584043871</v>
      </c>
      <c r="C42" s="15">
        <v>88.012219469690095</v>
      </c>
      <c r="E42" s="15">
        <v>0.55000000000000004</v>
      </c>
      <c r="F42" s="75">
        <v>0.60904891378990755</v>
      </c>
      <c r="G42" s="15">
        <v>80.802434531881403</v>
      </c>
      <c r="I42" s="15">
        <v>0.55000000000000004</v>
      </c>
      <c r="J42" s="75">
        <v>0.54755215288459802</v>
      </c>
      <c r="K42" s="15">
        <v>72.452945345764206</v>
      </c>
      <c r="M42" s="15">
        <v>0.55000000000000004</v>
      </c>
      <c r="N42" s="75">
        <v>0.60868637150416871</v>
      </c>
      <c r="O42" s="15">
        <v>53.955061500377901</v>
      </c>
    </row>
    <row r="43" spans="1:15" ht="12.75">
      <c r="A43" s="15">
        <v>0.6</v>
      </c>
      <c r="B43" s="16">
        <v>0.4663546777922834</v>
      </c>
      <c r="C43" s="15">
        <v>88.295187954170103</v>
      </c>
      <c r="E43" s="15">
        <v>0.6</v>
      </c>
      <c r="F43" s="75">
        <v>0.63156812213918523</v>
      </c>
      <c r="G43" s="15">
        <v>80.698761772177903</v>
      </c>
      <c r="I43" s="15">
        <v>0.6</v>
      </c>
      <c r="J43" s="75">
        <v>0.57878144450640578</v>
      </c>
      <c r="K43" s="15">
        <v>72.493997630561907</v>
      </c>
      <c r="M43" s="15">
        <v>0.6</v>
      </c>
      <c r="N43" s="75">
        <v>0.63360273193171079</v>
      </c>
      <c r="O43" s="15">
        <v>53.828344283004697</v>
      </c>
    </row>
    <row r="44" spans="1:15" ht="12.75">
      <c r="A44" s="15">
        <v>0.65</v>
      </c>
      <c r="B44" s="16">
        <v>0.49516937414561313</v>
      </c>
      <c r="C44" s="15">
        <v>88.711919302915206</v>
      </c>
      <c r="E44" s="15">
        <v>0.65</v>
      </c>
      <c r="F44" s="75">
        <v>0.65803531228331313</v>
      </c>
      <c r="G44" s="15">
        <v>80.645178263376195</v>
      </c>
      <c r="I44" s="15">
        <v>0.65</v>
      </c>
      <c r="J44" s="75">
        <v>0.61169862569104871</v>
      </c>
      <c r="K44" s="15">
        <v>72.605613521161004</v>
      </c>
      <c r="M44" s="15">
        <v>0.65</v>
      </c>
      <c r="N44" s="75">
        <v>0.65952735342661661</v>
      </c>
      <c r="O44" s="15">
        <v>53.765097645426799</v>
      </c>
    </row>
    <row r="45" spans="1:15" ht="12.75">
      <c r="A45" s="15">
        <v>0.7</v>
      </c>
      <c r="B45" s="16">
        <v>0.53046105170224556</v>
      </c>
      <c r="C45" s="15">
        <v>89.284770470494706</v>
      </c>
      <c r="E45" s="15">
        <v>0.7</v>
      </c>
      <c r="F45" s="75">
        <v>0.68881325514714309</v>
      </c>
      <c r="G45" s="15">
        <v>80.652871826465599</v>
      </c>
      <c r="I45" s="15">
        <v>0.7</v>
      </c>
      <c r="J45" s="75">
        <v>0.64717128700210647</v>
      </c>
      <c r="K45" s="15">
        <v>72.797735877264302</v>
      </c>
      <c r="M45" s="15">
        <v>0.7</v>
      </c>
      <c r="N45" s="75">
        <v>0.68742345698431273</v>
      </c>
      <c r="O45" s="15">
        <v>53.771796769579097</v>
      </c>
    </row>
    <row r="46" spans="1:15" ht="12.75">
      <c r="A46" s="15">
        <v>0.75</v>
      </c>
      <c r="B46" s="16">
        <v>0.57349114366731124</v>
      </c>
      <c r="C46" s="15">
        <v>90.038041439905101</v>
      </c>
      <c r="E46" s="15">
        <v>0.75</v>
      </c>
      <c r="F46" s="75">
        <v>0.72435691126051782</v>
      </c>
      <c r="G46" s="15">
        <v>80.732154865545297</v>
      </c>
      <c r="I46" s="15">
        <v>0.75</v>
      </c>
      <c r="J46" s="75">
        <v>0.68622148818850426</v>
      </c>
      <c r="K46" s="15">
        <v>73.085247794894102</v>
      </c>
      <c r="M46" s="15">
        <v>0.75</v>
      </c>
      <c r="N46" s="75">
        <v>0.71843567673355246</v>
      </c>
      <c r="O46" s="15">
        <v>53.861829657551802</v>
      </c>
    </row>
    <row r="47" spans="1:15" ht="12.75">
      <c r="A47" s="15">
        <v>0.8</v>
      </c>
      <c r="B47" s="16">
        <v>0.62601393790162618</v>
      </c>
      <c r="C47" s="15">
        <v>90.999661365073294</v>
      </c>
      <c r="E47" s="15">
        <v>0.8</v>
      </c>
      <c r="F47" s="75">
        <v>0.76524294457752784</v>
      </c>
      <c r="G47" s="15">
        <v>80.892974325048797</v>
      </c>
      <c r="I47" s="15">
        <v>0.8</v>
      </c>
      <c r="J47" s="75">
        <v>0.7301216147053462</v>
      </c>
      <c r="K47" s="15">
        <v>73.489087718706301</v>
      </c>
      <c r="M47" s="15">
        <v>0.8</v>
      </c>
      <c r="N47" s="75">
        <v>0.75402349479968744</v>
      </c>
      <c r="O47" s="15">
        <v>54.057411515004503</v>
      </c>
    </row>
    <row r="48" spans="1:15" ht="12.75">
      <c r="A48" s="15">
        <v>0.85</v>
      </c>
      <c r="B48" s="16">
        <v>0.69049385367227667</v>
      </c>
      <c r="C48" s="15">
        <v>92.203495583203704</v>
      </c>
      <c r="E48" s="15">
        <v>0.85</v>
      </c>
      <c r="F48" s="75">
        <v>0.81219620324011443</v>
      </c>
      <c r="G48" s="15">
        <v>81.145152126829203</v>
      </c>
      <c r="I48" s="15">
        <v>0.85</v>
      </c>
      <c r="J48" s="75">
        <v>0.78054153987819974</v>
      </c>
      <c r="K48" s="15">
        <v>74.038309306245395</v>
      </c>
      <c r="M48" s="15">
        <v>0.85</v>
      </c>
      <c r="N48" s="75">
        <v>0.79617178792874488</v>
      </c>
      <c r="O48" s="15">
        <v>54.392894317958998</v>
      </c>
    </row>
    <row r="49" spans="1:15" ht="12.75">
      <c r="A49" s="15">
        <v>0.9</v>
      </c>
      <c r="B49" s="16">
        <v>0.7704450951273053</v>
      </c>
      <c r="C49" s="15">
        <v>93.692089729556599</v>
      </c>
      <c r="E49" s="15">
        <v>0.9</v>
      </c>
      <c r="F49" s="75">
        <v>0.86613872689317906</v>
      </c>
      <c r="G49" s="15">
        <v>81.499060425592205</v>
      </c>
      <c r="I49" s="15">
        <v>0.9</v>
      </c>
      <c r="J49" s="75">
        <v>0.83978709878908231</v>
      </c>
      <c r="K49" s="15">
        <v>74.773540115868201</v>
      </c>
      <c r="M49" s="15">
        <v>0.9</v>
      </c>
      <c r="N49" s="75">
        <v>0.84775615772571478</v>
      </c>
      <c r="O49" s="15">
        <v>54.920637908736197</v>
      </c>
    </row>
    <row r="50" spans="1:15" ht="12.75">
      <c r="A50" s="15">
        <v>0.95</v>
      </c>
      <c r="B50" s="16">
        <v>0.87102143324218595</v>
      </c>
      <c r="C50" s="15">
        <v>95.5214196803134</v>
      </c>
      <c r="E50" s="15">
        <v>0.95</v>
      </c>
      <c r="F50" s="75">
        <v>0.92824166731753366</v>
      </c>
      <c r="G50" s="15">
        <v>81.965945069885706</v>
      </c>
      <c r="I50" s="15">
        <v>0.95</v>
      </c>
      <c r="J50" s="75">
        <v>0.91121355645440771</v>
      </c>
      <c r="K50" s="15">
        <v>75.752923599332107</v>
      </c>
      <c r="M50" s="15">
        <v>0.95</v>
      </c>
      <c r="N50" s="75">
        <v>0.91322131585664534</v>
      </c>
      <c r="O50" s="15">
        <v>55.721503918071299</v>
      </c>
    </row>
    <row r="51" spans="1:15" ht="12.75">
      <c r="A51" s="15">
        <v>1</v>
      </c>
      <c r="B51" s="16">
        <v>0.9999993801423871</v>
      </c>
      <c r="C51" s="15">
        <v>97.766791244787498</v>
      </c>
      <c r="E51" s="15">
        <v>1</v>
      </c>
      <c r="F51" s="75">
        <v>0.99999864701779961</v>
      </c>
      <c r="G51" s="15">
        <v>82.558349859461202</v>
      </c>
      <c r="I51" s="15">
        <v>1</v>
      </c>
      <c r="J51" s="75">
        <v>0.99999950796983195</v>
      </c>
      <c r="K51" s="15">
        <v>77.062911232770702</v>
      </c>
      <c r="M51" s="15">
        <v>1</v>
      </c>
      <c r="N51" s="75">
        <v>0.99999994788946978</v>
      </c>
      <c r="O51" s="15">
        <v>56.926093484597899</v>
      </c>
    </row>
    <row r="52" spans="1:15" ht="12.75">
      <c r="B52" s="6"/>
      <c r="F52" s="6"/>
      <c r="J52" s="6"/>
      <c r="N52" s="6"/>
    </row>
    <row r="53" spans="1:15" ht="12.75">
      <c r="B53" s="6"/>
      <c r="F53" s="6"/>
      <c r="J53" s="6"/>
      <c r="N53" s="6"/>
    </row>
    <row r="54" spans="1:15">
      <c r="A54" s="7" t="s">
        <v>3</v>
      </c>
      <c r="B54" s="8" t="s">
        <v>32</v>
      </c>
      <c r="C54" s="9"/>
      <c r="E54" s="7" t="s">
        <v>3</v>
      </c>
      <c r="F54" s="8" t="s">
        <v>35</v>
      </c>
      <c r="G54" s="9"/>
      <c r="I54" s="7" t="s">
        <v>3</v>
      </c>
      <c r="J54" s="8" t="s">
        <v>38</v>
      </c>
      <c r="K54" s="9"/>
      <c r="M54" s="7" t="s">
        <v>3</v>
      </c>
      <c r="N54" s="8" t="s">
        <v>39</v>
      </c>
      <c r="O54" s="9"/>
    </row>
    <row r="55" spans="1:15" ht="15">
      <c r="A55" s="9"/>
      <c r="B55" s="8"/>
      <c r="C55" s="9"/>
      <c r="E55" s="9"/>
      <c r="F55" s="8"/>
      <c r="G55" s="9"/>
      <c r="I55" s="9"/>
      <c r="J55" s="8"/>
      <c r="K55" s="9"/>
      <c r="M55" s="9"/>
      <c r="N55" s="8"/>
      <c r="O55" s="9"/>
    </row>
    <row r="56" spans="1:15" ht="12.75">
      <c r="A56" s="11" t="s">
        <v>8</v>
      </c>
      <c r="B56" s="12" t="s">
        <v>9</v>
      </c>
      <c r="C56" s="11" t="s">
        <v>10</v>
      </c>
      <c r="E56" s="11" t="s">
        <v>8</v>
      </c>
      <c r="F56" s="12" t="s">
        <v>9</v>
      </c>
      <c r="G56" s="11" t="s">
        <v>10</v>
      </c>
      <c r="I56" s="11" t="s">
        <v>8</v>
      </c>
      <c r="J56" s="12" t="s">
        <v>9</v>
      </c>
      <c r="K56" s="11" t="s">
        <v>10</v>
      </c>
      <c r="M56" s="11" t="s">
        <v>8</v>
      </c>
      <c r="N56" s="12" t="s">
        <v>9</v>
      </c>
      <c r="O56" s="11" t="s">
        <v>10</v>
      </c>
    </row>
    <row r="57" spans="1:15" ht="12.75">
      <c r="A57" s="15">
        <v>0</v>
      </c>
      <c r="B57" s="75">
        <v>0</v>
      </c>
      <c r="C57" s="15">
        <v>99.996895119679294</v>
      </c>
      <c r="E57" s="15">
        <v>0</v>
      </c>
      <c r="F57" s="75">
        <v>0</v>
      </c>
      <c r="G57" s="15">
        <v>61.203746476634301</v>
      </c>
      <c r="I57" s="15">
        <v>0</v>
      </c>
      <c r="J57" s="75">
        <v>0</v>
      </c>
      <c r="K57" s="15">
        <v>64.547823189514702</v>
      </c>
      <c r="M57" s="15">
        <v>0</v>
      </c>
      <c r="N57" s="75">
        <v>0</v>
      </c>
      <c r="O57" s="15">
        <v>117.72693835595</v>
      </c>
    </row>
    <row r="58" spans="1:15" ht="12.75">
      <c r="A58" s="15">
        <v>0.05</v>
      </c>
      <c r="B58" s="75">
        <v>0.60671058466110506</v>
      </c>
      <c r="C58" s="15">
        <v>76.917971404368302</v>
      </c>
      <c r="E58" s="15">
        <v>0.05</v>
      </c>
      <c r="F58" s="75">
        <v>2.8887429014220027E-2</v>
      </c>
      <c r="G58" s="15">
        <v>61.9719842577177</v>
      </c>
      <c r="I58" s="15">
        <v>0.05</v>
      </c>
      <c r="J58" s="75">
        <v>0.10912808381055811</v>
      </c>
      <c r="K58" s="15">
        <v>62.882321585030802</v>
      </c>
      <c r="M58" s="15">
        <v>0.05</v>
      </c>
      <c r="N58" s="75">
        <v>0.22206324947056866</v>
      </c>
      <c r="O58" s="15">
        <v>112.176584896322</v>
      </c>
    </row>
    <row r="59" spans="1:15" ht="12.75">
      <c r="A59" s="15">
        <v>0.1</v>
      </c>
      <c r="B59" s="75">
        <v>0.73484155846318766</v>
      </c>
      <c r="C59" s="15">
        <v>68.458019816469999</v>
      </c>
      <c r="E59" s="15">
        <v>0.1</v>
      </c>
      <c r="F59" s="75">
        <v>6.5785475047901623E-2</v>
      </c>
      <c r="G59" s="15">
        <v>62.709226198301003</v>
      </c>
      <c r="I59" s="15">
        <v>0.1</v>
      </c>
      <c r="J59" s="75">
        <v>0.1966070791045538</v>
      </c>
      <c r="K59" s="15">
        <v>61.527094270096299</v>
      </c>
      <c r="M59" s="15">
        <v>0.1</v>
      </c>
      <c r="N59" s="75">
        <v>0.37165359073996246</v>
      </c>
      <c r="O59" s="15">
        <v>107.84415159464599</v>
      </c>
    </row>
    <row r="60" spans="1:15" ht="12.75">
      <c r="A60" s="15">
        <v>0.15</v>
      </c>
      <c r="B60" s="75">
        <v>0.78254555611099763</v>
      </c>
      <c r="C60" s="15">
        <v>64.566199688974805</v>
      </c>
      <c r="E60" s="15">
        <v>0.15</v>
      </c>
      <c r="F60" s="75">
        <v>0.11070429025300334</v>
      </c>
      <c r="G60" s="15">
        <v>63.367654977366897</v>
      </c>
      <c r="I60" s="15">
        <v>0.15</v>
      </c>
      <c r="J60" s="75">
        <v>0.26870000364351526</v>
      </c>
      <c r="K60" s="15">
        <v>60.412792285894596</v>
      </c>
      <c r="M60" s="15">
        <v>0.15</v>
      </c>
      <c r="N60" s="75">
        <v>0.47808220560666315</v>
      </c>
      <c r="O60" s="15">
        <v>104.378818761186</v>
      </c>
    </row>
    <row r="61" spans="1:15" ht="12.75">
      <c r="A61" s="15">
        <v>0.2</v>
      </c>
      <c r="B61" s="75">
        <v>0.80471241075316935</v>
      </c>
      <c r="C61" s="15">
        <v>62.607876541961197</v>
      </c>
      <c r="E61" s="15">
        <v>0.2</v>
      </c>
      <c r="F61" s="75">
        <v>0.16315575856295836</v>
      </c>
      <c r="G61" s="15">
        <v>63.907820452671601</v>
      </c>
      <c r="I61" s="15">
        <v>0.2</v>
      </c>
      <c r="J61" s="75">
        <v>0.32963258517783883</v>
      </c>
      <c r="K61" s="15">
        <v>59.487944436207002</v>
      </c>
      <c r="M61" s="15">
        <v>0.2</v>
      </c>
      <c r="N61" s="75">
        <v>0.55683784643665946</v>
      </c>
      <c r="O61" s="15">
        <v>101.566284395045</v>
      </c>
    </row>
    <row r="62" spans="1:15" ht="12.75">
      <c r="A62" s="15">
        <v>0.25</v>
      </c>
      <c r="B62" s="75">
        <v>0.81615510460586715</v>
      </c>
      <c r="C62" s="15">
        <v>61.583737292961303</v>
      </c>
      <c r="E62" s="15">
        <v>0.25</v>
      </c>
      <c r="F62" s="75">
        <v>0.22215320068137503</v>
      </c>
      <c r="G62" s="15">
        <v>64.300138705676204</v>
      </c>
      <c r="I62" s="15">
        <v>0.25</v>
      </c>
      <c r="J62" s="75">
        <v>0.38235949204316561</v>
      </c>
      <c r="K62" s="15">
        <v>58.714102289848697</v>
      </c>
      <c r="M62" s="15">
        <v>0.25</v>
      </c>
      <c r="N62" s="75">
        <v>0.6168120200970636</v>
      </c>
      <c r="O62" s="15">
        <v>99.267466118266896</v>
      </c>
    </row>
    <row r="63" spans="1:15" ht="13.5" customHeight="1">
      <c r="A63" s="15">
        <v>0.3</v>
      </c>
      <c r="B63" s="75">
        <v>0.82249822603112743</v>
      </c>
      <c r="C63" s="15">
        <v>61.030855701210299</v>
      </c>
      <c r="E63" s="15">
        <v>0.3</v>
      </c>
      <c r="F63" s="75">
        <v>0.28628259844436965</v>
      </c>
      <c r="G63" s="15">
        <v>64.525777387979403</v>
      </c>
      <c r="I63" s="15">
        <v>0.3</v>
      </c>
      <c r="J63" s="75">
        <v>0.42901465182247805</v>
      </c>
      <c r="K63" s="15">
        <v>58.062153031773597</v>
      </c>
      <c r="M63" s="15">
        <v>0.3</v>
      </c>
      <c r="N63" s="75">
        <v>0.66342999046821216</v>
      </c>
      <c r="O63" s="15">
        <v>97.387953468914304</v>
      </c>
    </row>
    <row r="64" spans="1:15" ht="12.75">
      <c r="A64" s="15">
        <v>0.35</v>
      </c>
      <c r="B64" s="75">
        <v>0.82638830729592816</v>
      </c>
      <c r="C64" s="15">
        <v>60.708656959979102</v>
      </c>
      <c r="E64" s="15">
        <v>0.35</v>
      </c>
      <c r="F64" s="75">
        <v>0.35383901397462225</v>
      </c>
      <c r="G64" s="15">
        <v>64.576977167248401</v>
      </c>
      <c r="I64" s="15">
        <v>0.35</v>
      </c>
      <c r="J64" s="75">
        <v>0.47119009157844188</v>
      </c>
      <c r="K64" s="15">
        <v>57.510045431522499</v>
      </c>
      <c r="M64" s="15">
        <v>0.35</v>
      </c>
      <c r="N64" s="75">
        <v>0.70015972815444427</v>
      </c>
      <c r="O64" s="15">
        <v>95.861692105511807</v>
      </c>
    </row>
    <row r="65" spans="1:15" ht="12.75">
      <c r="A65" s="15">
        <v>0.4</v>
      </c>
      <c r="B65" s="75">
        <v>0.82929329674388819</v>
      </c>
      <c r="C65" s="15">
        <v>60.484370292622799</v>
      </c>
      <c r="E65" s="15">
        <v>0.4</v>
      </c>
      <c r="F65" s="75">
        <v>0.42299737164165269</v>
      </c>
      <c r="G65" s="15">
        <v>64.456046401273298</v>
      </c>
      <c r="I65" s="15">
        <v>0.4</v>
      </c>
      <c r="J65" s="75">
        <v>0.51011024514074421</v>
      </c>
      <c r="K65" s="15">
        <v>57.040970790182797</v>
      </c>
      <c r="M65" s="15">
        <v>0.4</v>
      </c>
      <c r="N65" s="75">
        <v>0.72927555029061653</v>
      </c>
      <c r="O65" s="15">
        <v>94.640688429405699</v>
      </c>
    </row>
    <row r="66" spans="1:15" ht="12.75">
      <c r="A66" s="15">
        <v>0.45</v>
      </c>
      <c r="B66" s="75">
        <v>0.83213393759477983</v>
      </c>
      <c r="C66" s="15">
        <v>60.282821839967902</v>
      </c>
      <c r="E66" s="15">
        <v>0.45</v>
      </c>
      <c r="F66" s="75">
        <v>0.49198728028446953</v>
      </c>
      <c r="G66" s="15">
        <v>64.173788736109103</v>
      </c>
      <c r="I66" s="15">
        <v>0.45</v>
      </c>
      <c r="J66" s="75">
        <v>0.5467524337879931</v>
      </c>
      <c r="K66" s="15">
        <v>56.642451836311899</v>
      </c>
      <c r="M66" s="15">
        <v>0.45</v>
      </c>
      <c r="N66" s="75">
        <v>0.75229417303036461</v>
      </c>
      <c r="O66" s="15">
        <v>93.689323849092403</v>
      </c>
    </row>
    <row r="67" spans="1:15" ht="12.75">
      <c r="A67" s="15">
        <v>0.5</v>
      </c>
      <c r="B67" s="75">
        <v>0.83555433309887817</v>
      </c>
      <c r="C67" s="15">
        <v>60.062128265556801</v>
      </c>
      <c r="E67" s="15">
        <v>0.5</v>
      </c>
      <c r="F67" s="75">
        <v>0.55923810542082308</v>
      </c>
      <c r="G67" s="15">
        <v>63.747329627178203</v>
      </c>
      <c r="I67" s="15">
        <v>0.5</v>
      </c>
      <c r="J67" s="75">
        <v>0.58192460659204925</v>
      </c>
      <c r="K67" s="15">
        <v>56.305375371250001</v>
      </c>
      <c r="M67" s="15">
        <v>0.5</v>
      </c>
      <c r="N67" s="75">
        <v>0.77020584523906943</v>
      </c>
      <c r="O67" s="15">
        <v>92.979720631322905</v>
      </c>
    </row>
    <row r="68" spans="1:15" ht="12.75">
      <c r="A68" s="15">
        <v>0.55000000000000004</v>
      </c>
      <c r="B68" s="75">
        <v>0.84005119496297753</v>
      </c>
      <c r="C68" s="15">
        <v>59.800715227868899</v>
      </c>
      <c r="E68" s="15">
        <v>0.55000000000000004</v>
      </c>
      <c r="F68" s="75">
        <v>0.62347528965813503</v>
      </c>
      <c r="G68" s="15">
        <v>63.197799959385598</v>
      </c>
      <c r="I68" s="15">
        <v>0.55000000000000004</v>
      </c>
      <c r="J68" s="75">
        <v>0.61632330380098155</v>
      </c>
      <c r="K68" s="15">
        <v>56.023470720452501</v>
      </c>
      <c r="M68" s="15">
        <v>0.55000000000000004</v>
      </c>
      <c r="N68" s="75">
        <v>0.78360591410689628</v>
      </c>
      <c r="O68" s="15">
        <v>92.488197289144907</v>
      </c>
    </row>
    <row r="69" spans="1:15" ht="12.75">
      <c r="A69" s="15">
        <v>0.6</v>
      </c>
      <c r="B69" s="75">
        <v>0.8460426738290554</v>
      </c>
      <c r="C69" s="15">
        <v>59.489878760174001</v>
      </c>
      <c r="E69" s="15">
        <v>0.6</v>
      </c>
      <c r="F69" s="75">
        <v>0.68376226404762952</v>
      </c>
      <c r="G69" s="15">
        <v>62.548151897923297</v>
      </c>
      <c r="I69" s="15">
        <v>0.6</v>
      </c>
      <c r="J69" s="75">
        <v>0.65057626445860461</v>
      </c>
      <c r="K69" s="15">
        <v>55.792895967603499</v>
      </c>
      <c r="M69" s="15">
        <v>0.6</v>
      </c>
      <c r="N69" s="75">
        <v>0.7927499484963868</v>
      </c>
      <c r="O69" s="15">
        <v>92.191433694054297</v>
      </c>
    </row>
    <row r="70" spans="1:15" ht="12.75">
      <c r="A70" s="15">
        <v>0.65</v>
      </c>
      <c r="B70" s="75">
        <v>0.85391061041054628</v>
      </c>
      <c r="C70" s="15">
        <v>59.129332564809303</v>
      </c>
      <c r="E70" s="15">
        <v>0.65</v>
      </c>
      <c r="F70" s="75">
        <v>0.73949752664642532</v>
      </c>
      <c r="G70" s="15">
        <v>61.821433280091199</v>
      </c>
      <c r="I70" s="15">
        <v>0.65</v>
      </c>
      <c r="J70" s="75">
        <v>0.68528201488069285</v>
      </c>
      <c r="K70" s="15">
        <v>55.612200115921802</v>
      </c>
      <c r="M70" s="15">
        <v>0.65</v>
      </c>
      <c r="N70" s="75">
        <v>0.79755149911884393</v>
      </c>
      <c r="O70" s="15">
        <v>92.061588226012404</v>
      </c>
    </row>
    <row r="71" spans="1:15" ht="12.75">
      <c r="A71" s="15">
        <v>0.7</v>
      </c>
      <c r="B71" s="75">
        <v>0.86403272024478561</v>
      </c>
      <c r="C71" s="15">
        <v>58.724533789402201</v>
      </c>
      <c r="E71" s="15">
        <v>0.7</v>
      </c>
      <c r="F71" s="75">
        <v>0.79037821825948507</v>
      </c>
      <c r="G71" s="15">
        <v>61.039474903678197</v>
      </c>
      <c r="I71" s="15">
        <v>0.7</v>
      </c>
      <c r="J71" s="75">
        <v>0.72103362649621061</v>
      </c>
      <c r="K71" s="15">
        <v>55.481871030473798</v>
      </c>
      <c r="M71" s="15">
        <v>0.7</v>
      </c>
      <c r="N71" s="75">
        <v>0.79751759293637237</v>
      </c>
      <c r="O71" s="15">
        <v>92.058850754805903</v>
      </c>
    </row>
    <row r="72" spans="1:15" ht="12.75">
      <c r="A72" s="15">
        <v>0.75</v>
      </c>
      <c r="B72" s="75">
        <v>0.87680800738009412</v>
      </c>
      <c r="C72" s="15">
        <v>58.284975397905498</v>
      </c>
      <c r="E72" s="15">
        <v>0.75</v>
      </c>
      <c r="F72" s="75">
        <v>0.83633806197582605</v>
      </c>
      <c r="G72" s="15">
        <v>60.221759001562198</v>
      </c>
      <c r="I72" s="15">
        <v>0.75</v>
      </c>
      <c r="J72" s="75">
        <v>0.75845763191490911</v>
      </c>
      <c r="K72" s="15">
        <v>55.4047006851468</v>
      </c>
      <c r="M72" s="15">
        <v>0.75</v>
      </c>
      <c r="N72" s="75">
        <v>0.79161119938689806</v>
      </c>
      <c r="O72" s="15">
        <v>92.119189892345005</v>
      </c>
    </row>
    <row r="73" spans="1:15" ht="12.75">
      <c r="A73" s="15">
        <v>0.8</v>
      </c>
      <c r="B73" s="75">
        <v>0.89268599371238544</v>
      </c>
      <c r="C73" s="15">
        <v>57.823291298055601</v>
      </c>
      <c r="E73" s="15">
        <v>0.8</v>
      </c>
      <c r="F73" s="75">
        <v>0.87749624262444925</v>
      </c>
      <c r="G73" s="15">
        <v>59.385328352633501</v>
      </c>
      <c r="I73" s="15">
        <v>0.8</v>
      </c>
      <c r="J73" s="75">
        <v>0.79824432330724249</v>
      </c>
      <c r="K73" s="15">
        <v>55.3857510699467</v>
      </c>
      <c r="M73" s="15">
        <v>0.8</v>
      </c>
      <c r="N73" s="75">
        <v>0.77805543512790709</v>
      </c>
      <c r="O73" s="15">
        <v>92.134398134454798</v>
      </c>
    </row>
    <row r="74" spans="1:15" ht="12.75">
      <c r="A74" s="15">
        <v>0.85</v>
      </c>
      <c r="B74" s="75">
        <v>0.91219156613467478</v>
      </c>
      <c r="C74" s="15">
        <v>57.354569957290103</v>
      </c>
      <c r="E74" s="15">
        <v>0.85</v>
      </c>
      <c r="F74" s="75">
        <v>0.9141017513269013</v>
      </c>
      <c r="G74" s="15">
        <v>58.544627372877301</v>
      </c>
      <c r="I74" s="15">
        <v>0.85</v>
      </c>
      <c r="J74" s="75">
        <v>0.84119371757928085</v>
      </c>
      <c r="K74" s="15">
        <v>55.4328116085467</v>
      </c>
      <c r="M74" s="15">
        <v>0.85</v>
      </c>
      <c r="N74" s="75">
        <v>0.75432003916372792</v>
      </c>
      <c r="O74" s="15">
        <v>91.926204713037805</v>
      </c>
    </row>
    <row r="75" spans="1:15" ht="12.75">
      <c r="A75" s="15">
        <v>0.9</v>
      </c>
      <c r="B75" s="75">
        <v>0.93597931558234182</v>
      </c>
      <c r="C75" s="15">
        <v>56.896759909141501</v>
      </c>
      <c r="E75" s="15">
        <v>0.9</v>
      </c>
      <c r="F75" s="75">
        <v>0.94647598388861232</v>
      </c>
      <c r="G75" s="15">
        <v>57.711256055931699</v>
      </c>
      <c r="I75" s="15">
        <v>0.9</v>
      </c>
      <c r="J75" s="75">
        <v>0.88827089348692867</v>
      </c>
      <c r="K75" s="15">
        <v>55.556887068033198</v>
      </c>
      <c r="M75" s="15">
        <v>0.9</v>
      </c>
      <c r="N75" s="75">
        <v>0.71895657157793791</v>
      </c>
      <c r="O75" s="15">
        <v>91.264656167866605</v>
      </c>
    </row>
    <row r="76" spans="1:15" ht="12.75">
      <c r="A76" s="15">
        <v>0.95</v>
      </c>
      <c r="B76" s="75">
        <v>0.96488076897720521</v>
      </c>
      <c r="C76" s="15">
        <v>56.4707078051037</v>
      </c>
      <c r="E76" s="15">
        <v>0.95</v>
      </c>
      <c r="F76" s="75">
        <v>0.9749830423346082</v>
      </c>
      <c r="G76" s="15">
        <v>56.894463687469099</v>
      </c>
      <c r="I76" s="15">
        <v>0.95</v>
      </c>
      <c r="J76" s="75">
        <v>0.94068032927572309</v>
      </c>
      <c r="K76" s="15">
        <v>55.7728728140914</v>
      </c>
      <c r="M76" s="15">
        <v>0.95</v>
      </c>
      <c r="N76" s="75">
        <v>0.68767271347477477</v>
      </c>
      <c r="O76" s="15">
        <v>90.414029653472099</v>
      </c>
    </row>
    <row r="77" spans="1:15" ht="12.75">
      <c r="A77" s="15">
        <v>1</v>
      </c>
      <c r="B77" s="75">
        <v>0.99999961571916174</v>
      </c>
      <c r="C77" s="15">
        <v>56.101349201444499</v>
      </c>
      <c r="E77" s="15">
        <v>1</v>
      </c>
      <c r="F77" s="75">
        <v>0.99999961571916174</v>
      </c>
      <c r="G77" s="15">
        <v>56.101349201444499</v>
      </c>
      <c r="I77" s="15">
        <v>1</v>
      </c>
      <c r="J77" s="75">
        <v>0.99999961571916174</v>
      </c>
      <c r="K77" s="15">
        <v>56.101349201444499</v>
      </c>
      <c r="M77" s="15">
        <v>1</v>
      </c>
      <c r="N77" s="75">
        <v>0.99999967814762591</v>
      </c>
      <c r="O77" s="15">
        <v>99.9968978437999</v>
      </c>
    </row>
    <row r="78" spans="1:15" ht="30" customHeight="1">
      <c r="B78" s="6"/>
      <c r="F78" s="6"/>
      <c r="J78" s="6"/>
      <c r="N78" s="6"/>
    </row>
    <row r="79" spans="1:15" ht="12.75">
      <c r="B79" s="6"/>
      <c r="F79" s="6"/>
      <c r="J79" s="6"/>
      <c r="N79" s="6"/>
    </row>
    <row r="80" spans="1:15">
      <c r="A80" s="7" t="s">
        <v>3</v>
      </c>
      <c r="B80" s="8" t="s">
        <v>41</v>
      </c>
      <c r="C80" s="9"/>
      <c r="D80" s="9"/>
      <c r="E80" s="7" t="s">
        <v>3</v>
      </c>
      <c r="F80" s="8" t="s">
        <v>44</v>
      </c>
      <c r="G80" s="9"/>
      <c r="I80" s="7" t="s">
        <v>3</v>
      </c>
      <c r="J80" s="8" t="s">
        <v>46</v>
      </c>
      <c r="K80" s="9"/>
      <c r="L80" s="9"/>
      <c r="M80" s="7" t="s">
        <v>3</v>
      </c>
      <c r="N80" s="8" t="s">
        <v>47</v>
      </c>
      <c r="O80" s="9"/>
    </row>
    <row r="81" spans="1:15" ht="15">
      <c r="A81" s="9"/>
      <c r="B81" s="8"/>
      <c r="C81" s="9"/>
      <c r="D81" s="9"/>
      <c r="E81" s="9"/>
      <c r="F81" s="8"/>
      <c r="G81" s="9"/>
      <c r="I81" s="9"/>
      <c r="J81" s="8"/>
      <c r="K81" s="9"/>
      <c r="L81" s="9"/>
      <c r="M81" s="9"/>
      <c r="N81" s="8"/>
      <c r="O81" s="9"/>
    </row>
    <row r="82" spans="1:15" ht="12.75">
      <c r="A82" s="11" t="s">
        <v>8</v>
      </c>
      <c r="B82" s="12" t="s">
        <v>9</v>
      </c>
      <c r="C82" s="11" t="s">
        <v>10</v>
      </c>
      <c r="E82" s="11" t="s">
        <v>8</v>
      </c>
      <c r="F82" s="12" t="s">
        <v>9</v>
      </c>
      <c r="G82" s="11" t="s">
        <v>10</v>
      </c>
      <c r="I82" s="11" t="s">
        <v>8</v>
      </c>
      <c r="J82" s="12" t="s">
        <v>9</v>
      </c>
      <c r="K82" s="11" t="s">
        <v>10</v>
      </c>
      <c r="M82" s="11" t="s">
        <v>8</v>
      </c>
      <c r="N82" s="12" t="s">
        <v>9</v>
      </c>
      <c r="O82" s="11" t="s">
        <v>10</v>
      </c>
    </row>
    <row r="83" spans="1:15" ht="12.75">
      <c r="A83" s="15">
        <v>0</v>
      </c>
      <c r="B83" s="75">
        <v>0</v>
      </c>
      <c r="C83" s="15">
        <v>118.19106603450599</v>
      </c>
      <c r="E83" s="15">
        <v>0</v>
      </c>
      <c r="F83" s="75">
        <v>0</v>
      </c>
      <c r="G83" s="15">
        <v>100.733146668926</v>
      </c>
      <c r="I83" s="15">
        <v>0</v>
      </c>
      <c r="J83" s="75">
        <v>0</v>
      </c>
      <c r="K83" s="91">
        <v>64.547768628390301</v>
      </c>
      <c r="M83" s="15">
        <v>0</v>
      </c>
      <c r="N83" s="16">
        <v>0</v>
      </c>
      <c r="O83" s="15">
        <v>99.996893782134805</v>
      </c>
    </row>
    <row r="84" spans="1:15" ht="12.75">
      <c r="A84" s="15">
        <v>0.05</v>
      </c>
      <c r="B84" s="75">
        <v>0.13523504065410474</v>
      </c>
      <c r="C84" s="15">
        <v>115.203947247065</v>
      </c>
      <c r="E84" s="15">
        <v>0.05</v>
      </c>
      <c r="F84" s="75">
        <v>3.9998766687483964E-2</v>
      </c>
      <c r="G84" s="15">
        <v>101.11677777327699</v>
      </c>
      <c r="I84" s="15">
        <v>0.05</v>
      </c>
      <c r="J84" s="75">
        <v>0.12641018456807854</v>
      </c>
      <c r="K84" s="91">
        <v>62.401219863876698</v>
      </c>
      <c r="M84" s="15">
        <v>0.05</v>
      </c>
      <c r="N84" s="16">
        <v>0.32131732103720656</v>
      </c>
      <c r="O84" s="15">
        <v>90.6853875545291</v>
      </c>
    </row>
    <row r="85" spans="1:15" ht="12.75">
      <c r="A85" s="15">
        <v>0.1</v>
      </c>
      <c r="B85" s="75">
        <v>0.24291630949540047</v>
      </c>
      <c r="C85" s="15">
        <v>112.687249884986</v>
      </c>
      <c r="E85" s="15">
        <v>0.1</v>
      </c>
      <c r="F85" s="75">
        <v>8.3334605008626217E-2</v>
      </c>
      <c r="G85" s="15">
        <v>101.46486605017699</v>
      </c>
      <c r="I85" s="15">
        <v>0.1</v>
      </c>
      <c r="J85" s="75">
        <v>0.22718017732216189</v>
      </c>
      <c r="K85" s="91">
        <v>60.597476795017002</v>
      </c>
      <c r="M85" s="15">
        <v>0.1</v>
      </c>
      <c r="N85" s="16">
        <v>0.43764980870567988</v>
      </c>
      <c r="O85" s="15">
        <v>86.7009118342162</v>
      </c>
    </row>
    <row r="86" spans="1:15" ht="12.75">
      <c r="A86" s="15">
        <v>0.15</v>
      </c>
      <c r="B86" s="75">
        <v>0.33076348420262558</v>
      </c>
      <c r="C86" s="15">
        <v>110.544001374742</v>
      </c>
      <c r="E86" s="15">
        <v>0.15</v>
      </c>
      <c r="F86" s="75">
        <v>0.12978977557604851</v>
      </c>
      <c r="G86" s="15">
        <v>101.77185385441</v>
      </c>
      <c r="I86" s="15">
        <v>0.15</v>
      </c>
      <c r="J86" s="75">
        <v>0.30862284037564458</v>
      </c>
      <c r="K86" s="91">
        <v>59.088185948472201</v>
      </c>
      <c r="M86" s="15">
        <v>0.15</v>
      </c>
      <c r="N86" s="16">
        <v>0.49660394580880052</v>
      </c>
      <c r="O86" s="15">
        <v>84.605320491072305</v>
      </c>
    </row>
    <row r="87" spans="1:15" ht="12.75">
      <c r="A87" s="15">
        <v>0.2</v>
      </c>
      <c r="B87" s="75">
        <v>0.40385986701245319</v>
      </c>
      <c r="C87" s="15">
        <v>108.705019889204</v>
      </c>
      <c r="E87" s="15">
        <v>0.2</v>
      </c>
      <c r="F87" s="75">
        <v>0.17907035738310878</v>
      </c>
      <c r="G87" s="15">
        <v>102.033054472012</v>
      </c>
      <c r="I87" s="15">
        <v>0.2</v>
      </c>
      <c r="J87" s="75">
        <v>0.37523265777361126</v>
      </c>
      <c r="K87" s="91">
        <v>57.8332384565037</v>
      </c>
      <c r="M87" s="15">
        <v>0.2</v>
      </c>
      <c r="N87" s="16">
        <v>0.53289172708110299</v>
      </c>
      <c r="O87" s="15">
        <v>83.343663404108796</v>
      </c>
    </row>
    <row r="88" spans="1:15" ht="12.75">
      <c r="A88" s="15">
        <v>0.25</v>
      </c>
      <c r="B88" s="75">
        <v>0.46569471243460997</v>
      </c>
      <c r="C88" s="15">
        <v>107.119257800314</v>
      </c>
      <c r="E88" s="15">
        <v>0.25</v>
      </c>
      <c r="F88" s="75">
        <v>0.23081364453696648</v>
      </c>
      <c r="G88" s="15">
        <v>102.244915987572</v>
      </c>
      <c r="I88" s="15">
        <v>0.25</v>
      </c>
      <c r="J88" s="75">
        <v>0.4302690416932734</v>
      </c>
      <c r="K88" s="91">
        <v>56.799350525689199</v>
      </c>
      <c r="M88" s="15">
        <v>0.25</v>
      </c>
      <c r="N88" s="16">
        <v>0.55884030398758866</v>
      </c>
      <c r="O88" s="15">
        <v>82.491066779502802</v>
      </c>
    </row>
    <row r="89" spans="1:15" ht="12.75">
      <c r="A89" s="15">
        <v>0.3</v>
      </c>
      <c r="B89" s="75">
        <v>0.51875381225054107</v>
      </c>
      <c r="C89" s="15">
        <v>105.748260235253</v>
      </c>
      <c r="E89" s="15">
        <v>0.3</v>
      </c>
      <c r="F89" s="75">
        <v>0.28459851867826064</v>
      </c>
      <c r="G89" s="15">
        <v>102.404984969523</v>
      </c>
      <c r="I89" s="15">
        <v>0.3</v>
      </c>
      <c r="J89" s="75">
        <v>0.47613732131271019</v>
      </c>
      <c r="K89" s="91">
        <v>55.958429871053603</v>
      </c>
      <c r="M89" s="15">
        <v>0.3</v>
      </c>
      <c r="N89" s="16">
        <v>0.57990530823917297</v>
      </c>
      <c r="O89" s="15">
        <v>81.852107190042204</v>
      </c>
    </row>
    <row r="90" spans="1:15" ht="12.75">
      <c r="A90" s="15">
        <v>0.35</v>
      </c>
      <c r="B90" s="75">
        <v>0.56486037605624639</v>
      </c>
      <c r="C90" s="15">
        <v>104.562016572556</v>
      </c>
      <c r="E90" s="15">
        <v>0.35</v>
      </c>
      <c r="F90" s="75">
        <v>0.33995947273039911</v>
      </c>
      <c r="G90" s="15">
        <v>102.511958013195</v>
      </c>
      <c r="I90" s="15">
        <v>0.35</v>
      </c>
      <c r="J90" s="75">
        <v>0.51464226913689559</v>
      </c>
      <c r="K90" s="91">
        <v>55.2862382762357</v>
      </c>
      <c r="M90" s="15">
        <v>0.35</v>
      </c>
      <c r="N90" s="16">
        <v>0.59886396942657683</v>
      </c>
      <c r="O90" s="15">
        <v>81.330606079050497</v>
      </c>
    </row>
    <row r="91" spans="1:15" ht="12.75">
      <c r="A91" s="15">
        <v>0.4</v>
      </c>
      <c r="B91" s="75">
        <v>0.6053941918050364</v>
      </c>
      <c r="C91" s="15">
        <v>103.53674769544099</v>
      </c>
      <c r="E91" s="15">
        <v>0.4</v>
      </c>
      <c r="F91" s="75">
        <v>0.39640083048278757</v>
      </c>
      <c r="G91" s="15">
        <v>102.565524851316</v>
      </c>
      <c r="I91" s="15">
        <v>0.4</v>
      </c>
      <c r="J91" s="75">
        <v>0.54716840180969062</v>
      </c>
      <c r="K91" s="91">
        <v>54.761718396295102</v>
      </c>
      <c r="M91" s="15">
        <v>0.4</v>
      </c>
      <c r="N91" s="16">
        <v>0.61728449719097112</v>
      </c>
      <c r="O91" s="15">
        <v>80.878186615049501</v>
      </c>
    </row>
    <row r="92" spans="1:15" ht="12.75">
      <c r="A92" s="15">
        <v>0.45</v>
      </c>
      <c r="B92" s="75">
        <v>0.64143159700397356</v>
      </c>
      <c r="C92" s="15">
        <v>102.65318713443099</v>
      </c>
      <c r="E92" s="15">
        <v>0.45</v>
      </c>
      <c r="F92" s="75">
        <v>0.45341686725986557</v>
      </c>
      <c r="G92" s="15">
        <v>102.566580787128</v>
      </c>
      <c r="I92" s="15">
        <v>0.45</v>
      </c>
      <c r="J92" s="75">
        <v>0.57479792751677439</v>
      </c>
      <c r="K92" s="91">
        <v>54.3658566924504</v>
      </c>
      <c r="M92" s="15">
        <v>0.45</v>
      </c>
      <c r="N92" s="16">
        <v>0.63613451650603514</v>
      </c>
      <c r="O92" s="15">
        <v>80.471094244387203</v>
      </c>
    </row>
    <row r="93" spans="1:15" ht="12.75">
      <c r="A93" s="15">
        <v>0.5</v>
      </c>
      <c r="B93" s="75">
        <v>0.67384217741580832</v>
      </c>
      <c r="C93" s="15">
        <v>101.895426981223</v>
      </c>
      <c r="E93" s="15">
        <v>0.5</v>
      </c>
      <c r="F93" s="75">
        <v>0.51050396194993686</v>
      </c>
      <c r="G93" s="15">
        <v>102.51679312811601</v>
      </c>
      <c r="I93" s="15">
        <v>0.5</v>
      </c>
      <c r="J93" s="75">
        <v>0.59840970385787728</v>
      </c>
      <c r="K93" s="91">
        <v>54.081495667984697</v>
      </c>
      <c r="M93" s="15">
        <v>0.5</v>
      </c>
      <c r="N93" s="16">
        <v>0.65605390530480223</v>
      </c>
      <c r="O93" s="15">
        <v>80.098356773268904</v>
      </c>
    </row>
    <row r="94" spans="1:15" ht="12.75">
      <c r="A94" s="15">
        <v>0.55000000000000004</v>
      </c>
      <c r="B94" s="75">
        <v>0.70336007483623297</v>
      </c>
      <c r="C94" s="15">
        <v>101.250124013849</v>
      </c>
      <c r="E94" s="15">
        <v>0.55000000000000004</v>
      </c>
      <c r="F94" s="75">
        <v>0.56717741388639165</v>
      </c>
      <c r="G94" s="15">
        <v>102.418644468357</v>
      </c>
      <c r="I94" s="15">
        <v>0.55000000000000004</v>
      </c>
      <c r="J94" s="75">
        <v>0.61875179801917024</v>
      </c>
      <c r="K94" s="91">
        <v>53.892895120438403</v>
      </c>
      <c r="M94" s="15">
        <v>0.55000000000000004</v>
      </c>
      <c r="N94" s="16">
        <v>0.6775177291966642</v>
      </c>
      <c r="O94" s="15">
        <v>79.756549101637503</v>
      </c>
    </row>
    <row r="95" spans="1:15" ht="12.75">
      <c r="A95" s="15">
        <v>0.6</v>
      </c>
      <c r="B95" s="75">
        <v>0.73064233409065937</v>
      </c>
      <c r="C95" s="15">
        <v>100.70599480010701</v>
      </c>
      <c r="E95" s="15">
        <v>0.6</v>
      </c>
      <c r="F95" s="75">
        <v>0.62298859243102578</v>
      </c>
      <c r="G95" s="15">
        <v>102.275483521914</v>
      </c>
      <c r="I95" s="15">
        <v>0.6</v>
      </c>
      <c r="J95" s="75">
        <v>0.63651434882277036</v>
      </c>
      <c r="K95" s="91">
        <v>53.785969476803999</v>
      </c>
      <c r="M95" s="15">
        <v>0.6</v>
      </c>
      <c r="N95" s="16">
        <v>0.70090078131949773</v>
      </c>
      <c r="O95" s="15">
        <v>79.445928318094204</v>
      </c>
    </row>
    <row r="96" spans="1:15" ht="12.75">
      <c r="A96" s="15">
        <v>0.65</v>
      </c>
      <c r="B96" s="75">
        <v>0.75632447306071715</v>
      </c>
      <c r="C96" s="15">
        <v>100.253603230853</v>
      </c>
      <c r="E96" s="15">
        <v>0.65</v>
      </c>
      <c r="F96" s="75">
        <v>0.67752373586512349</v>
      </c>
      <c r="G96" s="15">
        <v>102.09082533511901</v>
      </c>
      <c r="I96" s="15">
        <v>0.65</v>
      </c>
      <c r="J96" s="75">
        <v>0.65241318841862728</v>
      </c>
      <c r="K96" s="91">
        <v>53.749253464780402</v>
      </c>
      <c r="M96" s="15">
        <v>0.65</v>
      </c>
      <c r="N96" s="16">
        <v>0.72653859243535523</v>
      </c>
      <c r="O96" s="15">
        <v>79.169140465895197</v>
      </c>
    </row>
    <row r="97" spans="1:15" ht="12.75">
      <c r="A97" s="15">
        <v>0.7</v>
      </c>
      <c r="B97" s="75">
        <v>0.78108440855488614</v>
      </c>
      <c r="C97" s="15">
        <v>99.885536596504096</v>
      </c>
      <c r="E97" s="15">
        <v>0.7</v>
      </c>
      <c r="F97" s="75">
        <v>0.73042285699129872</v>
      </c>
      <c r="G97" s="15">
        <v>101.86879513127801</v>
      </c>
      <c r="I97" s="15">
        <v>0.7</v>
      </c>
      <c r="J97" s="75">
        <v>0.66730977059231755</v>
      </c>
      <c r="K97" s="91">
        <v>53.776362806011001</v>
      </c>
      <c r="M97" s="15">
        <v>0.7</v>
      </c>
      <c r="N97" s="16">
        <v>0.75475348098058037</v>
      </c>
      <c r="O97" s="15">
        <v>78.930016190176502</v>
      </c>
    </row>
    <row r="98" spans="1:15" ht="12.75">
      <c r="A98" s="15">
        <v>0.75</v>
      </c>
      <c r="B98" s="75">
        <v>0.8057310053812945</v>
      </c>
      <c r="C98" s="15">
        <v>99.597220405897801</v>
      </c>
      <c r="E98" s="15">
        <v>0.75</v>
      </c>
      <c r="F98" s="75">
        <v>0.78137808898339745</v>
      </c>
      <c r="G98" s="15">
        <v>101.61370077490299</v>
      </c>
      <c r="I98" s="15">
        <v>0.75</v>
      </c>
      <c r="J98" s="75">
        <v>0.68241659543332578</v>
      </c>
      <c r="K98" s="91">
        <v>53.871537040057497</v>
      </c>
      <c r="M98" s="15">
        <v>0.75</v>
      </c>
      <c r="N98" s="16">
        <v>0.78587914755342347</v>
      </c>
      <c r="O98" s="15">
        <v>78.7331000789641</v>
      </c>
    </row>
    <row r="99" spans="1:15" ht="30" customHeight="1">
      <c r="A99" s="15">
        <v>0.8</v>
      </c>
      <c r="B99" s="75">
        <v>0.83134821857127295</v>
      </c>
      <c r="C99" s="15">
        <v>99.388982153029403</v>
      </c>
      <c r="E99" s="15">
        <v>0.8</v>
      </c>
      <c r="F99" s="75">
        <v>0.83013664777206719</v>
      </c>
      <c r="G99" s="15">
        <v>101.329978709302</v>
      </c>
      <c r="I99" s="15">
        <v>0.8</v>
      </c>
      <c r="J99" s="75">
        <v>0.6997020597822291</v>
      </c>
      <c r="K99" s="91">
        <v>54.061961980154699</v>
      </c>
      <c r="M99" s="15">
        <v>0.8</v>
      </c>
      <c r="N99" s="16">
        <v>0.82027963307627716</v>
      </c>
      <c r="O99" s="15">
        <v>78.583390471504998</v>
      </c>
    </row>
    <row r="100" spans="1:15" ht="12.75">
      <c r="A100" s="15">
        <v>0.85</v>
      </c>
      <c r="B100" s="75">
        <v>0.85954477811137131</v>
      </c>
      <c r="C100" s="15">
        <v>99.270227385645697</v>
      </c>
      <c r="E100" s="15">
        <v>0.85</v>
      </c>
      <c r="F100" s="75">
        <v>0.87650030561532621</v>
      </c>
      <c r="G100" s="15">
        <v>101.022093875072</v>
      </c>
      <c r="I100" s="15">
        <v>0.85</v>
      </c>
      <c r="J100" s="75">
        <v>0.72279919788820579</v>
      </c>
      <c r="K100" s="91">
        <v>54.426336141129603</v>
      </c>
      <c r="M100" s="15">
        <v>0.85</v>
      </c>
      <c r="N100" s="16">
        <v>0.85836696695896664</v>
      </c>
      <c r="O100" s="15">
        <v>78.4862416474583</v>
      </c>
    </row>
    <row r="101" spans="1:15" ht="12.75">
      <c r="A101" s="15">
        <v>0.9</v>
      </c>
      <c r="B101" s="75">
        <v>0.89298403319939923</v>
      </c>
      <c r="C101" s="15">
        <v>99.269686994929103</v>
      </c>
      <c r="E101" s="15">
        <v>0.9</v>
      </c>
      <c r="F101" s="75">
        <v>0.92032306250315277</v>
      </c>
      <c r="G101" s="15">
        <v>100.694456552953</v>
      </c>
      <c r="I101" s="15">
        <v>0.9</v>
      </c>
      <c r="J101" s="75">
        <v>0.75938418693787102</v>
      </c>
      <c r="K101" s="91">
        <v>55.1675105849421</v>
      </c>
      <c r="M101" s="15">
        <v>0.9</v>
      </c>
      <c r="N101" s="16">
        <v>0.90061966838395602</v>
      </c>
      <c r="O101" s="15">
        <v>78.447371533439906</v>
      </c>
    </row>
    <row r="102" spans="1:15" ht="12.75">
      <c r="A102" s="15">
        <v>0.95</v>
      </c>
      <c r="B102" s="75">
        <v>0.93650630581499894</v>
      </c>
      <c r="C102" s="15">
        <v>99.456974861557995</v>
      </c>
      <c r="E102" s="15">
        <v>0.95</v>
      </c>
      <c r="F102" s="75">
        <v>0.96150616975751457</v>
      </c>
      <c r="G102" s="15">
        <v>100.35131793131799</v>
      </c>
      <c r="I102" s="15">
        <v>0.95</v>
      </c>
      <c r="J102" s="75">
        <v>0.82894438387880764</v>
      </c>
      <c r="K102" s="91">
        <v>56.830748768875097</v>
      </c>
      <c r="M102" s="15">
        <v>0.95</v>
      </c>
      <c r="N102" s="16">
        <v>0.94760381344378608</v>
      </c>
      <c r="O102" s="15">
        <v>78.472938864207705</v>
      </c>
    </row>
    <row r="103" spans="1:15" ht="12.75">
      <c r="A103" s="15">
        <v>1</v>
      </c>
      <c r="B103" s="75">
        <v>0.99999967814762591</v>
      </c>
      <c r="C103" s="15">
        <v>99.9968978437999</v>
      </c>
      <c r="E103" s="15">
        <v>1</v>
      </c>
      <c r="F103" s="75">
        <v>0.99999967814762591</v>
      </c>
      <c r="G103" s="15">
        <v>99.9968978437999</v>
      </c>
      <c r="I103" s="15">
        <v>1</v>
      </c>
      <c r="J103" s="75">
        <v>0.99999891010812814</v>
      </c>
      <c r="K103" s="91">
        <v>61.203746476567602</v>
      </c>
      <c r="M103" s="15">
        <v>1</v>
      </c>
      <c r="N103" s="16">
        <v>1.0000010200978182</v>
      </c>
      <c r="O103" s="15">
        <v>78.569735428754896</v>
      </c>
    </row>
    <row r="104" spans="1:15" ht="12.75">
      <c r="B104" s="6"/>
      <c r="F104" s="6"/>
      <c r="J104" s="6"/>
      <c r="N104" s="6"/>
    </row>
    <row r="105" spans="1:15" ht="12.75">
      <c r="B105" s="6"/>
      <c r="F105" s="6"/>
      <c r="J105" s="6"/>
      <c r="N105" s="6"/>
    </row>
    <row r="106" spans="1:15">
      <c r="A106" s="7" t="s">
        <v>3</v>
      </c>
      <c r="B106" s="8" t="s">
        <v>48</v>
      </c>
      <c r="C106" s="9"/>
      <c r="E106" s="7" t="s">
        <v>3</v>
      </c>
      <c r="F106" s="8" t="s">
        <v>51</v>
      </c>
      <c r="G106" s="9"/>
      <c r="I106" s="7" t="s">
        <v>3</v>
      </c>
      <c r="J106" s="8" t="s">
        <v>52</v>
      </c>
      <c r="K106" s="9"/>
      <c r="M106" s="7" t="s">
        <v>3</v>
      </c>
      <c r="N106" s="8" t="s">
        <v>54</v>
      </c>
      <c r="O106" s="9"/>
    </row>
    <row r="107" spans="1:15" ht="15">
      <c r="A107" s="9"/>
      <c r="B107" s="8"/>
      <c r="C107" s="9"/>
      <c r="E107" s="9"/>
      <c r="F107" s="8"/>
      <c r="G107" s="9"/>
      <c r="I107" s="9"/>
      <c r="J107" s="8"/>
      <c r="K107" s="9"/>
      <c r="M107" s="9"/>
      <c r="N107" s="8"/>
      <c r="O107" s="9"/>
    </row>
    <row r="108" spans="1:15" ht="12.75">
      <c r="A108" s="11" t="s">
        <v>8</v>
      </c>
      <c r="B108" s="12" t="s">
        <v>9</v>
      </c>
      <c r="C108" s="11" t="s">
        <v>10</v>
      </c>
      <c r="E108" s="11" t="s">
        <v>8</v>
      </c>
      <c r="F108" s="12" t="s">
        <v>9</v>
      </c>
      <c r="G108" s="11" t="s">
        <v>10</v>
      </c>
      <c r="I108" s="11" t="s">
        <v>8</v>
      </c>
      <c r="J108" s="12" t="s">
        <v>9</v>
      </c>
      <c r="K108" s="11" t="s">
        <v>10</v>
      </c>
      <c r="M108" s="11" t="s">
        <v>8</v>
      </c>
      <c r="N108" s="12" t="s">
        <v>9</v>
      </c>
      <c r="O108" s="11" t="s">
        <v>10</v>
      </c>
    </row>
    <row r="109" spans="1:15" ht="12.75">
      <c r="A109" s="15">
        <v>0</v>
      </c>
      <c r="B109" s="75">
        <v>0</v>
      </c>
      <c r="C109" s="15">
        <v>80.099616303929096</v>
      </c>
      <c r="E109" s="15">
        <v>0</v>
      </c>
      <c r="F109" s="75">
        <v>0</v>
      </c>
      <c r="G109" s="15">
        <v>77.062909700634805</v>
      </c>
      <c r="I109" s="15">
        <v>0</v>
      </c>
      <c r="J109" s="75">
        <v>0</v>
      </c>
      <c r="K109" s="15">
        <v>99.996893782438406</v>
      </c>
      <c r="M109" s="15">
        <v>0</v>
      </c>
      <c r="N109" s="75">
        <v>0</v>
      </c>
      <c r="O109" s="15">
        <v>80.099698457121207</v>
      </c>
    </row>
    <row r="110" spans="1:15" ht="12.75">
      <c r="A110" s="15">
        <v>0.05</v>
      </c>
      <c r="B110" s="75">
        <v>0.21247378519398338</v>
      </c>
      <c r="C110" s="15">
        <v>73.948234687436894</v>
      </c>
      <c r="E110" s="15">
        <v>0.05</v>
      </c>
      <c r="F110" s="75">
        <v>0.17089058092824996</v>
      </c>
      <c r="G110" s="15">
        <v>72.918780632360196</v>
      </c>
      <c r="I110" s="15">
        <v>0.05</v>
      </c>
      <c r="J110" s="75">
        <v>0.27646389626063994</v>
      </c>
      <c r="K110" s="15">
        <v>92.494015859355102</v>
      </c>
      <c r="M110" s="15">
        <v>0.05</v>
      </c>
      <c r="N110" s="75">
        <v>0.37246099143548017</v>
      </c>
      <c r="O110" s="15">
        <v>67.014236776078107</v>
      </c>
    </row>
    <row r="111" spans="1:15" ht="12.75">
      <c r="A111" s="15">
        <v>0.1</v>
      </c>
      <c r="B111" s="75">
        <v>0.30803329173828314</v>
      </c>
      <c r="C111" s="15">
        <v>71.114428555701394</v>
      </c>
      <c r="E111" s="15">
        <v>0.1</v>
      </c>
      <c r="F111" s="75">
        <v>0.28130595432311356</v>
      </c>
      <c r="G111" s="15">
        <v>70.111755986778505</v>
      </c>
      <c r="I111" s="15">
        <v>0.1</v>
      </c>
      <c r="J111" s="75">
        <v>0.42569687352893526</v>
      </c>
      <c r="K111" s="15">
        <v>87.638427159962603</v>
      </c>
      <c r="M111" s="15">
        <v>0.1</v>
      </c>
      <c r="N111" s="75">
        <v>0.48784205106514422</v>
      </c>
      <c r="O111" s="15">
        <v>62.113907719403599</v>
      </c>
    </row>
    <row r="112" spans="1:15" ht="12.75">
      <c r="A112" s="15">
        <v>0.15</v>
      </c>
      <c r="B112" s="75">
        <v>0.36059298517802851</v>
      </c>
      <c r="C112" s="15">
        <v>69.643917908332995</v>
      </c>
      <c r="E112" s="15">
        <v>0.15</v>
      </c>
      <c r="F112" s="75">
        <v>0.35910787520210452</v>
      </c>
      <c r="G112" s="15">
        <v>68.113311903581902</v>
      </c>
      <c r="I112" s="15">
        <v>0.15</v>
      </c>
      <c r="J112" s="75">
        <v>0.51980377922202148</v>
      </c>
      <c r="K112" s="15">
        <v>84.201624932783403</v>
      </c>
      <c r="M112" s="15">
        <v>0.15</v>
      </c>
      <c r="N112" s="75">
        <v>0.54002588666380325</v>
      </c>
      <c r="O112" s="15">
        <v>59.8221079489754</v>
      </c>
    </row>
    <row r="113" spans="1:15" ht="12.75">
      <c r="A113" s="15">
        <v>0.2</v>
      </c>
      <c r="B113" s="75">
        <v>0.39255141926097381</v>
      </c>
      <c r="C113" s="15">
        <v>68.846796012628204</v>
      </c>
      <c r="E113" s="15">
        <v>0.2</v>
      </c>
      <c r="F113" s="75">
        <v>0.41733432666172204</v>
      </c>
      <c r="G113" s="15">
        <v>66.644572309857693</v>
      </c>
      <c r="I113" s="15">
        <v>0.2</v>
      </c>
      <c r="J113" s="75">
        <v>0.58565701645666712</v>
      </c>
      <c r="K113" s="15">
        <v>81.607528303190506</v>
      </c>
      <c r="M113" s="15">
        <v>0.2</v>
      </c>
      <c r="N113" s="75">
        <v>0.56668799814619386</v>
      </c>
      <c r="O113" s="15">
        <v>58.6939649921841</v>
      </c>
    </row>
    <row r="114" spans="1:15" ht="30" customHeight="1">
      <c r="A114" s="15">
        <v>0.25</v>
      </c>
      <c r="B114" s="75">
        <v>0.4133100614641162</v>
      </c>
      <c r="C114" s="15">
        <v>68.408940224225901</v>
      </c>
      <c r="E114" s="15">
        <v>0.25</v>
      </c>
      <c r="F114" s="75">
        <v>0.46298838815072751</v>
      </c>
      <c r="G114" s="15">
        <v>65.541153437995405</v>
      </c>
      <c r="I114" s="15">
        <v>0.25</v>
      </c>
      <c r="J114" s="75">
        <v>0.63539314673194169</v>
      </c>
      <c r="K114" s="15">
        <v>79.548974050670793</v>
      </c>
      <c r="M114" s="15">
        <v>0.25</v>
      </c>
      <c r="N114" s="75">
        <v>0.58067332183422238</v>
      </c>
      <c r="O114" s="15">
        <v>58.149795712369503</v>
      </c>
    </row>
    <row r="115" spans="1:15" ht="12.75">
      <c r="A115" s="15">
        <v>0.3</v>
      </c>
      <c r="B115" s="75">
        <v>0.42763996357976702</v>
      </c>
      <c r="C115" s="15">
        <v>68.168784386387998</v>
      </c>
      <c r="E115" s="15">
        <v>0.3</v>
      </c>
      <c r="F115" s="75">
        <v>0.50022097438391944</v>
      </c>
      <c r="G115" s="15">
        <v>64.698648770133602</v>
      </c>
      <c r="I115" s="15">
        <v>0.3</v>
      </c>
      <c r="J115" s="75">
        <v>0.67524228239498041</v>
      </c>
      <c r="K115" s="15">
        <v>77.847172640825093</v>
      </c>
      <c r="M115" s="15">
        <v>0.3</v>
      </c>
      <c r="N115" s="75">
        <v>0.58771521363142187</v>
      </c>
      <c r="O115" s="15">
        <v>57.9070161544523</v>
      </c>
    </row>
    <row r="116" spans="1:15" ht="12.75">
      <c r="A116" s="15">
        <v>0.35</v>
      </c>
      <c r="B116" s="75">
        <v>0.43831379967519951</v>
      </c>
      <c r="C116" s="15">
        <v>68.038932564706997</v>
      </c>
      <c r="E116" s="15">
        <v>0.35</v>
      </c>
      <c r="F116" s="75">
        <v>0.53169515908615139</v>
      </c>
      <c r="G116" s="15">
        <v>64.047445807573098</v>
      </c>
      <c r="I116" s="15">
        <v>0.35</v>
      </c>
      <c r="J116" s="75">
        <v>0.7087160061333595</v>
      </c>
      <c r="K116" s="15">
        <v>76.391696601605503</v>
      </c>
      <c r="M116" s="15">
        <v>0.35</v>
      </c>
      <c r="N116" s="75">
        <v>0.59087777201428149</v>
      </c>
      <c r="O116" s="15">
        <v>57.813851524775501</v>
      </c>
    </row>
    <row r="117" spans="1:15" ht="12.75">
      <c r="A117" s="15">
        <v>0.4</v>
      </c>
      <c r="B117" s="75">
        <v>0.4471373630819544</v>
      </c>
      <c r="C117" s="15">
        <v>67.972955612878195</v>
      </c>
      <c r="E117" s="15">
        <v>0.4</v>
      </c>
      <c r="F117" s="75">
        <v>0.55924229819875693</v>
      </c>
      <c r="G117" s="15">
        <v>63.539664753630198</v>
      </c>
      <c r="I117" s="15">
        <v>0.4</v>
      </c>
      <c r="J117" s="75">
        <v>0.73793548752227001</v>
      </c>
      <c r="K117" s="15">
        <v>75.111163069476902</v>
      </c>
      <c r="M117" s="15">
        <v>0.4</v>
      </c>
      <c r="N117" s="75">
        <v>0.59204575526604342</v>
      </c>
      <c r="O117" s="15">
        <v>57.7856813899961</v>
      </c>
    </row>
    <row r="118" spans="1:15" ht="12.75">
      <c r="A118" s="15">
        <v>0.45</v>
      </c>
      <c r="B118" s="75">
        <v>0.45542250949990354</v>
      </c>
      <c r="C118" s="15">
        <v>67.949475470109405</v>
      </c>
      <c r="E118" s="15">
        <v>0.45</v>
      </c>
      <c r="F118" s="75">
        <v>0.58420800197420331</v>
      </c>
      <c r="G118" s="15">
        <v>63.141880074381604</v>
      </c>
      <c r="I118" s="15">
        <v>0.45</v>
      </c>
      <c r="J118" s="75">
        <v>0.7642449198145268</v>
      </c>
      <c r="K118" s="15">
        <v>73.957546038101995</v>
      </c>
      <c r="M118" s="15">
        <v>0.45</v>
      </c>
      <c r="N118" s="75">
        <v>0.5925361032502714</v>
      </c>
      <c r="O118" s="15">
        <v>57.776718052297902</v>
      </c>
    </row>
    <row r="119" spans="1:15" ht="12.75">
      <c r="A119" s="15">
        <v>0.5</v>
      </c>
      <c r="B119" s="75">
        <v>0.4642389788467281</v>
      </c>
      <c r="C119" s="15">
        <v>67.964051226281896</v>
      </c>
      <c r="E119" s="15">
        <v>0.5</v>
      </c>
      <c r="F119" s="75">
        <v>0.60765789181274321</v>
      </c>
      <c r="G119" s="15">
        <v>62.831183584320897</v>
      </c>
      <c r="I119" s="15">
        <v>0.5</v>
      </c>
      <c r="J119" s="75">
        <v>0.78854587574891799</v>
      </c>
      <c r="K119" s="15">
        <v>72.898159023410003</v>
      </c>
      <c r="M119" s="15">
        <v>0.5</v>
      </c>
      <c r="N119" s="75">
        <v>0.59339505804746029</v>
      </c>
      <c r="O119" s="15">
        <v>57.766176056828499</v>
      </c>
    </row>
    <row r="120" spans="1:15" ht="12.75">
      <c r="A120" s="15">
        <v>0.55000000000000004</v>
      </c>
      <c r="B120" s="75">
        <v>0.47456855460955999</v>
      </c>
      <c r="C120" s="15">
        <v>68.024787880859293</v>
      </c>
      <c r="E120" s="15">
        <v>0.55000000000000004</v>
      </c>
      <c r="F120" s="75">
        <v>0.63050192152488893</v>
      </c>
      <c r="G120" s="15">
        <v>62.592608321778897</v>
      </c>
      <c r="I120" s="15">
        <v>0.55000000000000004</v>
      </c>
      <c r="J120" s="75">
        <v>0.81145213073879563</v>
      </c>
      <c r="K120" s="15">
        <v>71.909847567548994</v>
      </c>
      <c r="M120" s="15">
        <v>0.55000000000000004</v>
      </c>
      <c r="N120" s="75">
        <v>0.59556109668995982</v>
      </c>
      <c r="O120" s="15">
        <v>57.7508338277731</v>
      </c>
    </row>
    <row r="121" spans="1:15" ht="12.75">
      <c r="A121" s="15">
        <v>0.6</v>
      </c>
      <c r="B121" s="75">
        <v>0.4874269823870564</v>
      </c>
      <c r="C121" s="15">
        <v>68.150362394898295</v>
      </c>
      <c r="E121" s="15">
        <v>0.6</v>
      </c>
      <c r="F121" s="75">
        <v>0.65358568957171992</v>
      </c>
      <c r="G121" s="15">
        <v>62.4177912103181</v>
      </c>
      <c r="I121" s="15">
        <v>0.6</v>
      </c>
      <c r="J121" s="75">
        <v>0.83340023724371926</v>
      </c>
      <c r="K121" s="15">
        <v>70.976192815767703</v>
      </c>
      <c r="M121" s="15">
        <v>0.6</v>
      </c>
      <c r="N121" s="75">
        <v>0.59998302594447528</v>
      </c>
      <c r="O121" s="15">
        <v>57.741307410515802</v>
      </c>
    </row>
    <row r="122" spans="1:15" ht="12.75">
      <c r="A122" s="15">
        <v>0.65</v>
      </c>
      <c r="B122" s="75">
        <v>0.50398648103038413</v>
      </c>
      <c r="C122" s="15">
        <v>68.369650474996007</v>
      </c>
      <c r="E122" s="15">
        <v>0.65</v>
      </c>
      <c r="F122" s="75">
        <v>0.67776526628780509</v>
      </c>
      <c r="G122" s="15">
        <v>62.304324556236601</v>
      </c>
      <c r="I122" s="15">
        <v>0.65</v>
      </c>
      <c r="J122" s="75">
        <v>0.8547073965730615</v>
      </c>
      <c r="K122" s="15">
        <v>70.085372184809401</v>
      </c>
      <c r="M122" s="15">
        <v>0.65</v>
      </c>
      <c r="N122" s="75">
        <v>0.60772927181640923</v>
      </c>
      <c r="O122" s="15">
        <v>57.7605097751985</v>
      </c>
    </row>
    <row r="123" spans="1:15" ht="12.75">
      <c r="A123" s="15">
        <v>0.7</v>
      </c>
      <c r="B123" s="75">
        <v>0.52572602004225844</v>
      </c>
      <c r="C123" s="15">
        <v>68.722581516325803</v>
      </c>
      <c r="E123" s="15">
        <v>0.7</v>
      </c>
      <c r="F123" s="75">
        <v>0.70398108548891869</v>
      </c>
      <c r="G123" s="15">
        <v>62.255682024901198</v>
      </c>
      <c r="I123" s="15">
        <v>0.7</v>
      </c>
      <c r="J123" s="75">
        <v>0.87561040215160735</v>
      </c>
      <c r="K123" s="15">
        <v>69.228835047738102</v>
      </c>
      <c r="M123" s="15">
        <v>0.7</v>
      </c>
      <c r="N123" s="75">
        <v>0.62012068311192514</v>
      </c>
      <c r="O123" s="15">
        <v>57.8438597188741</v>
      </c>
    </row>
    <row r="124" spans="1:15" ht="12.75">
      <c r="A124" s="15">
        <v>0.75</v>
      </c>
      <c r="B124" s="75">
        <v>0.55465803970647931</v>
      </c>
      <c r="C124" s="15">
        <v>69.262747444796702</v>
      </c>
      <c r="E124" s="15">
        <v>0.75</v>
      </c>
      <c r="F124" s="75">
        <v>0.73334321733806418</v>
      </c>
      <c r="G124" s="15">
        <v>62.281639799616102</v>
      </c>
      <c r="I124" s="15">
        <v>0.75</v>
      </c>
      <c r="J124" s="75">
        <v>0.89628138556965109</v>
      </c>
      <c r="K124" s="15">
        <v>68.400121079766095</v>
      </c>
      <c r="M124" s="15">
        <v>0.75</v>
      </c>
      <c r="N124" s="75">
        <v>0.6389252994786554</v>
      </c>
      <c r="O124" s="15">
        <v>58.041310494793898</v>
      </c>
    </row>
    <row r="125" spans="1:15" ht="12.75">
      <c r="A125" s="15">
        <v>0.8</v>
      </c>
      <c r="B125" s="75">
        <v>0.5936925407717335</v>
      </c>
      <c r="C125" s="15">
        <v>70.061884232854197</v>
      </c>
      <c r="E125" s="15">
        <v>0.8</v>
      </c>
      <c r="F125" s="75">
        <v>0.76725307367112694</v>
      </c>
      <c r="G125" s="15">
        <v>62.399539374473903</v>
      </c>
      <c r="I125" s="15">
        <v>0.8</v>
      </c>
      <c r="J125" s="75">
        <v>0.91686010817609043</v>
      </c>
      <c r="K125" s="15">
        <v>67.594703123631604</v>
      </c>
      <c r="M125" s="15">
        <v>0.8</v>
      </c>
      <c r="N125" s="75">
        <v>0.66667903909909698</v>
      </c>
      <c r="O125" s="15">
        <v>58.421768215453802</v>
      </c>
    </row>
    <row r="126" spans="1:15" ht="12.75">
      <c r="A126" s="15">
        <v>0.85</v>
      </c>
      <c r="B126" s="75">
        <v>0.64729050893216578</v>
      </c>
      <c r="C126" s="15">
        <v>71.217982390909398</v>
      </c>
      <c r="E126" s="15">
        <v>0.85</v>
      </c>
      <c r="F126" s="75">
        <v>0.80757108958035595</v>
      </c>
      <c r="G126" s="15">
        <v>62.6359949580972</v>
      </c>
      <c r="I126" s="15">
        <v>0.85</v>
      </c>
      <c r="J126" s="75">
        <v>0.93744710112603991</v>
      </c>
      <c r="K126" s="15">
        <v>66.809005997009706</v>
      </c>
      <c r="M126" s="15">
        <v>0.85</v>
      </c>
      <c r="N126" s="75">
        <v>0.70727224961218438</v>
      </c>
      <c r="O126" s="15">
        <v>59.081678916390203</v>
      </c>
    </row>
    <row r="127" spans="1:15" ht="12.75">
      <c r="A127" s="15">
        <v>0.9</v>
      </c>
      <c r="B127" s="75">
        <v>0.72269570315844001</v>
      </c>
      <c r="C127" s="15">
        <v>72.868874812577403</v>
      </c>
      <c r="E127" s="15">
        <v>0.9</v>
      </c>
      <c r="F127" s="75">
        <v>0.85690058020727355</v>
      </c>
      <c r="G127" s="15">
        <v>63.030242915734704</v>
      </c>
      <c r="I127" s="15">
        <v>0.9</v>
      </c>
      <c r="J127" s="75">
        <v>0.958124361883405</v>
      </c>
      <c r="K127" s="15">
        <v>66.040465328010598</v>
      </c>
      <c r="M127" s="15">
        <v>0.9</v>
      </c>
      <c r="N127" s="75">
        <v>0.76707258204760409</v>
      </c>
      <c r="O127" s="15">
        <v>60.160027372415698</v>
      </c>
    </row>
    <row r="128" spans="1:15" ht="12.75">
      <c r="A128" s="15">
        <v>0.95</v>
      </c>
      <c r="B128" s="75">
        <v>0.83245715350188698</v>
      </c>
      <c r="C128" s="15">
        <v>75.216397352589695</v>
      </c>
      <c r="E128" s="15">
        <v>0.95</v>
      </c>
      <c r="F128" s="75">
        <v>0.91906669257498907</v>
      </c>
      <c r="G128" s="15">
        <v>63.6394262201743</v>
      </c>
      <c r="I128" s="15">
        <v>0.95</v>
      </c>
      <c r="J128" s="75">
        <v>0.97895978092365454</v>
      </c>
      <c r="K128" s="15">
        <v>65.287250736212798</v>
      </c>
      <c r="M128" s="15">
        <v>0.95</v>
      </c>
      <c r="N128" s="75">
        <v>0.85734893310259974</v>
      </c>
      <c r="O128" s="15">
        <v>61.867914232478</v>
      </c>
    </row>
    <row r="129" spans="1:15" ht="12.75">
      <c r="A129" s="15">
        <v>1</v>
      </c>
      <c r="B129" s="75">
        <v>1.0000003916002977</v>
      </c>
      <c r="C129" s="15">
        <v>78.569719632501901</v>
      </c>
      <c r="E129" s="15">
        <v>1</v>
      </c>
      <c r="F129" s="75">
        <v>0.99999949244995057</v>
      </c>
      <c r="G129" s="15">
        <v>64.547789864615197</v>
      </c>
      <c r="I129" s="15">
        <v>1</v>
      </c>
      <c r="J129" s="75">
        <v>0.99999949244995057</v>
      </c>
      <c r="K129" s="15">
        <v>64.547789864615197</v>
      </c>
      <c r="M129" s="15">
        <v>1</v>
      </c>
      <c r="N129" s="75">
        <v>0.99999949244995057</v>
      </c>
      <c r="O129" s="15">
        <v>64.547789864615197</v>
      </c>
    </row>
    <row r="130" spans="1:15" ht="12.75">
      <c r="B130" s="6"/>
      <c r="F130" s="6"/>
      <c r="J130" s="6"/>
      <c r="N130" s="6"/>
    </row>
    <row r="131" spans="1:15" ht="12.75">
      <c r="B131" s="6"/>
      <c r="F131" s="6"/>
      <c r="J131" s="6"/>
      <c r="N131" s="6"/>
    </row>
    <row r="132" spans="1:15">
      <c r="A132" s="7" t="s">
        <v>3</v>
      </c>
      <c r="B132" s="8" t="s">
        <v>55</v>
      </c>
      <c r="C132" s="9"/>
      <c r="E132" s="7" t="s">
        <v>3</v>
      </c>
      <c r="F132" s="8" t="s">
        <v>57</v>
      </c>
      <c r="G132" s="9"/>
      <c r="I132" s="7" t="s">
        <v>3</v>
      </c>
      <c r="J132" s="8" t="s">
        <v>59</v>
      </c>
      <c r="K132" s="9"/>
      <c r="M132" s="7"/>
      <c r="N132" s="8"/>
      <c r="O132" s="9"/>
    </row>
    <row r="133" spans="1:15" ht="15">
      <c r="A133" s="9"/>
      <c r="B133" s="8"/>
      <c r="C133" s="9"/>
      <c r="E133" s="9"/>
      <c r="F133" s="8"/>
      <c r="G133" s="9"/>
      <c r="I133" s="9"/>
      <c r="J133" s="8"/>
      <c r="K133" s="9"/>
      <c r="M133" s="9"/>
      <c r="N133" s="8"/>
      <c r="O133" s="9"/>
    </row>
    <row r="134" spans="1:15" ht="12.75">
      <c r="A134" s="11" t="s">
        <v>8</v>
      </c>
      <c r="B134" s="12" t="s">
        <v>9</v>
      </c>
      <c r="C134" s="11" t="s">
        <v>10</v>
      </c>
      <c r="E134" s="11" t="s">
        <v>8</v>
      </c>
      <c r="F134" s="12" t="s">
        <v>9</v>
      </c>
      <c r="G134" s="11" t="s">
        <v>10</v>
      </c>
      <c r="I134" s="11" t="s">
        <v>8</v>
      </c>
      <c r="J134" s="12" t="s">
        <v>9</v>
      </c>
      <c r="K134" s="11" t="s">
        <v>10</v>
      </c>
      <c r="M134" s="105"/>
      <c r="N134" s="106"/>
      <c r="O134" s="105"/>
    </row>
    <row r="135" spans="1:15" ht="30" customHeight="1">
      <c r="A135" s="15">
        <v>0</v>
      </c>
      <c r="B135" s="75">
        <v>0</v>
      </c>
      <c r="C135" s="15">
        <v>78.569691285002406</v>
      </c>
      <c r="E135" s="15">
        <v>0</v>
      </c>
      <c r="F135" s="75">
        <v>0</v>
      </c>
      <c r="G135" s="15">
        <v>80.099623019987305</v>
      </c>
      <c r="I135" s="15">
        <v>0</v>
      </c>
      <c r="J135" s="75">
        <v>0</v>
      </c>
      <c r="K135" s="15">
        <v>99.996893782134805</v>
      </c>
      <c r="M135" s="107"/>
      <c r="N135" s="19"/>
      <c r="O135" s="107"/>
    </row>
    <row r="136" spans="1:15" ht="12.75">
      <c r="A136" s="15">
        <v>0.05</v>
      </c>
      <c r="B136" s="75">
        <v>0.31475542600883244</v>
      </c>
      <c r="C136" s="15">
        <v>70.520024756580597</v>
      </c>
      <c r="E136" s="15">
        <v>0.05</v>
      </c>
      <c r="F136" s="75">
        <v>5.9458224201656765E-2</v>
      </c>
      <c r="G136" s="15">
        <v>79.766845178502706</v>
      </c>
      <c r="I136" s="15">
        <v>0.05</v>
      </c>
      <c r="J136" s="75">
        <v>0.72155963109318977</v>
      </c>
      <c r="K136" s="15">
        <v>68.692462523926693</v>
      </c>
      <c r="M136" s="107"/>
      <c r="N136" s="19"/>
      <c r="O136" s="107"/>
    </row>
    <row r="137" spans="1:15" ht="12.75">
      <c r="A137" s="15">
        <v>0.1</v>
      </c>
      <c r="B137" s="75">
        <v>0.47187645514300453</v>
      </c>
      <c r="C137" s="15">
        <v>65.484757424411697</v>
      </c>
      <c r="E137" s="15">
        <v>0.1</v>
      </c>
      <c r="F137" s="75">
        <v>0.11675132555975888</v>
      </c>
      <c r="G137" s="15">
        <v>79.458463046533197</v>
      </c>
      <c r="I137" s="15">
        <v>0.1</v>
      </c>
      <c r="J137" s="75">
        <v>0.79601863271971296</v>
      </c>
      <c r="K137" s="15">
        <v>62.233197028932302</v>
      </c>
      <c r="M137" s="107"/>
      <c r="N137" s="19"/>
      <c r="O137" s="107"/>
    </row>
    <row r="138" spans="1:15" ht="12.75">
      <c r="A138" s="15">
        <v>0.15</v>
      </c>
      <c r="B138" s="75">
        <v>0.5602147068775768</v>
      </c>
      <c r="C138" s="15">
        <v>62.240473847705701</v>
      </c>
      <c r="E138" s="15">
        <v>0.15</v>
      </c>
      <c r="F138" s="75">
        <v>0.17214798931649949</v>
      </c>
      <c r="G138" s="15">
        <v>79.172917371740496</v>
      </c>
      <c r="I138" s="15">
        <v>0.15</v>
      </c>
      <c r="J138" s="75">
        <v>0.81129443561506431</v>
      </c>
      <c r="K138" s="15">
        <v>60.735951829068497</v>
      </c>
      <c r="M138" s="107"/>
      <c r="N138" s="19"/>
      <c r="O138" s="107"/>
    </row>
    <row r="139" spans="1:15" ht="12.75">
      <c r="A139" s="15">
        <v>0.2</v>
      </c>
      <c r="B139" s="75">
        <v>0.61341459066050319</v>
      </c>
      <c r="C139" s="15">
        <v>60.139928134286201</v>
      </c>
      <c r="E139" s="15">
        <v>0.2</v>
      </c>
      <c r="F139" s="75">
        <v>0.22588879762801117</v>
      </c>
      <c r="G139" s="15">
        <v>78.908490664651396</v>
      </c>
      <c r="I139" s="15">
        <v>0.2</v>
      </c>
      <c r="J139" s="75">
        <v>0.80988734143073049</v>
      </c>
      <c r="K139" s="15">
        <v>60.863977973336397</v>
      </c>
      <c r="M139" s="107"/>
      <c r="N139" s="19"/>
      <c r="O139" s="107"/>
    </row>
    <row r="140" spans="1:15" ht="12.75">
      <c r="A140" s="15">
        <v>0.25</v>
      </c>
      <c r="B140" s="75">
        <v>0.64641585648780331</v>
      </c>
      <c r="C140" s="15">
        <v>58.8071020561353</v>
      </c>
      <c r="E140" s="15">
        <v>0.25</v>
      </c>
      <c r="F140" s="75">
        <v>0.27819408786788813</v>
      </c>
      <c r="G140" s="15">
        <v>78.664085241596098</v>
      </c>
      <c r="I140" s="15">
        <v>0.25</v>
      </c>
      <c r="J140" s="75">
        <v>0.80190682068461661</v>
      </c>
      <c r="K140" s="15">
        <v>61.549376871136303</v>
      </c>
      <c r="M140" s="107"/>
      <c r="N140" s="19"/>
      <c r="O140" s="107"/>
    </row>
    <row r="141" spans="1:15" ht="12.75">
      <c r="A141" s="15">
        <v>0.3</v>
      </c>
      <c r="B141" s="75">
        <v>0.66667912489867054</v>
      </c>
      <c r="C141" s="15">
        <v>58.004676716412099</v>
      </c>
      <c r="E141" s="15">
        <v>0.3</v>
      </c>
      <c r="F141" s="75">
        <v>0.32926194398511965</v>
      </c>
      <c r="G141" s="15">
        <v>78.438308803440293</v>
      </c>
      <c r="I141" s="15">
        <v>0.3</v>
      </c>
      <c r="J141" s="75">
        <v>0.7912802039410084</v>
      </c>
      <c r="K141" s="15">
        <v>62.358153860889303</v>
      </c>
      <c r="M141" s="107"/>
      <c r="N141" s="19"/>
      <c r="O141" s="107"/>
    </row>
    <row r="142" spans="1:15" ht="12.75">
      <c r="A142" s="15">
        <v>0.35</v>
      </c>
      <c r="B142" s="75">
        <v>0.67827701449440825</v>
      </c>
      <c r="C142" s="15">
        <v>57.571409429976399</v>
      </c>
      <c r="E142" s="15">
        <v>0.35</v>
      </c>
      <c r="F142" s="75">
        <v>0.37927692430013449</v>
      </c>
      <c r="G142" s="15">
        <v>78.230272019355596</v>
      </c>
      <c r="I142" s="15">
        <v>0.35</v>
      </c>
      <c r="J142" s="75">
        <v>0.78005999158673567</v>
      </c>
      <c r="K142" s="15">
        <v>63.099154196956398</v>
      </c>
      <c r="M142" s="107"/>
      <c r="N142" s="19"/>
      <c r="O142" s="107"/>
    </row>
    <row r="143" spans="1:15" ht="12.75">
      <c r="A143" s="15">
        <v>0.4</v>
      </c>
      <c r="B143" s="75">
        <v>0.68360397871410328</v>
      </c>
      <c r="C143" s="15">
        <v>57.390489558400098</v>
      </c>
      <c r="E143" s="15">
        <v>0.4</v>
      </c>
      <c r="F143" s="75">
        <v>0.42840839296993938</v>
      </c>
      <c r="G143" s="15">
        <v>78.039042570658594</v>
      </c>
      <c r="I143" s="15">
        <v>0.4</v>
      </c>
      <c r="J143" s="75">
        <v>0.76954917112634458</v>
      </c>
      <c r="K143" s="15">
        <v>63.692464116446303</v>
      </c>
      <c r="M143" s="107"/>
      <c r="N143" s="19"/>
      <c r="O143" s="107"/>
    </row>
    <row r="144" spans="1:15" ht="12.75">
      <c r="A144" s="15">
        <v>0.45</v>
      </c>
      <c r="B144" s="75">
        <v>0.68416902834075966</v>
      </c>
      <c r="C144" s="15">
        <v>57.372341672500497</v>
      </c>
      <c r="E144" s="15">
        <v>0.45</v>
      </c>
      <c r="F144" s="75">
        <v>0.47681455260446159</v>
      </c>
      <c r="G144" s="15">
        <v>77.863853225131606</v>
      </c>
      <c r="I144" s="15">
        <v>0.45</v>
      </c>
      <c r="J144" s="75">
        <v>0.76068043392533757</v>
      </c>
      <c r="K144" s="15">
        <v>64.114429141090099</v>
      </c>
      <c r="M144" s="107"/>
      <c r="N144" s="19"/>
      <c r="O144" s="107"/>
    </row>
    <row r="145" spans="1:16" ht="12.75">
      <c r="A145" s="15">
        <v>0.5</v>
      </c>
      <c r="B145" s="75">
        <v>0.68100733380356337</v>
      </c>
      <c r="C145" s="15">
        <v>57.445260034913701</v>
      </c>
      <c r="E145" s="15">
        <v>0.5</v>
      </c>
      <c r="F145" s="75">
        <v>0.52464400495863384</v>
      </c>
      <c r="G145" s="15">
        <v>77.704049411450896</v>
      </c>
      <c r="I145" s="15">
        <v>0.5</v>
      </c>
      <c r="J145" s="75">
        <v>0.75417373739309024</v>
      </c>
      <c r="K145" s="15">
        <v>64.371098600446203</v>
      </c>
      <c r="M145" s="107"/>
      <c r="N145" s="19"/>
      <c r="O145" s="107"/>
    </row>
    <row r="146" spans="1:16" ht="12.75">
      <c r="A146" s="15">
        <v>0.55000000000000004</v>
      </c>
      <c r="B146" s="75">
        <v>0.67491994447363501</v>
      </c>
      <c r="C146" s="15">
        <v>57.550551762844798</v>
      </c>
      <c r="E146" s="15">
        <v>0.55000000000000004</v>
      </c>
      <c r="F146" s="75">
        <v>0.57203743965649434</v>
      </c>
      <c r="G146" s="15">
        <v>77.559080343737307</v>
      </c>
      <c r="I146" s="15">
        <v>0.55000000000000004</v>
      </c>
      <c r="J146" s="75">
        <v>0.7506372226896334</v>
      </c>
      <c r="K146" s="15">
        <v>64.484880728718906</v>
      </c>
      <c r="M146" s="107"/>
      <c r="N146" s="19"/>
      <c r="O146" s="107"/>
    </row>
    <row r="147" spans="1:16" ht="12.75">
      <c r="A147" s="15">
        <v>0.6</v>
      </c>
      <c r="B147" s="75">
        <v>0.66663936254165468</v>
      </c>
      <c r="C147" s="15">
        <v>57.640866721375303</v>
      </c>
      <c r="E147" s="15">
        <v>0.6</v>
      </c>
      <c r="F147" s="75">
        <v>0.61912830573781363</v>
      </c>
      <c r="G147" s="15">
        <v>77.428447356351697</v>
      </c>
      <c r="I147" s="15">
        <v>0.6</v>
      </c>
      <c r="J147" s="75">
        <v>0.75063210003409775</v>
      </c>
      <c r="K147" s="15">
        <v>64.487062701547998</v>
      </c>
      <c r="M147" s="107"/>
      <c r="N147" s="19"/>
      <c r="O147" s="107"/>
    </row>
    <row r="148" spans="1:16" ht="12.75">
      <c r="A148" s="15">
        <v>0.65</v>
      </c>
      <c r="B148" s="75">
        <v>0.65697535140690233</v>
      </c>
      <c r="C148" s="15">
        <v>57.681444728060697</v>
      </c>
      <c r="E148" s="15">
        <v>0.65</v>
      </c>
      <c r="F148" s="75">
        <v>0.6660492101872304</v>
      </c>
      <c r="G148" s="15">
        <v>77.311960776121197</v>
      </c>
      <c r="I148" s="15">
        <v>0.65</v>
      </c>
      <c r="J148" s="75">
        <v>0.75473962003392259</v>
      </c>
      <c r="K148" s="15">
        <v>64.414171573476395</v>
      </c>
      <c r="M148" s="107"/>
      <c r="N148" s="19"/>
      <c r="O148" s="107"/>
    </row>
    <row r="149" spans="1:16" ht="12.75">
      <c r="A149" s="15">
        <v>0.7</v>
      </c>
      <c r="B149" s="75">
        <v>0.64698658216457905</v>
      </c>
      <c r="C149" s="15">
        <v>57.654990886401599</v>
      </c>
      <c r="E149" s="15">
        <v>0.7</v>
      </c>
      <c r="F149" s="75">
        <v>0.71292135452793393</v>
      </c>
      <c r="G149" s="15">
        <v>77.2091203738443</v>
      </c>
      <c r="I149" s="15">
        <v>0.7</v>
      </c>
      <c r="J149" s="75">
        <v>0.76362275302005123</v>
      </c>
      <c r="K149" s="15">
        <v>64.306098651880404</v>
      </c>
      <c r="M149" s="107"/>
      <c r="N149" s="19"/>
      <c r="O149" s="107"/>
    </row>
    <row r="150" spans="1:16" ht="30" customHeight="1">
      <c r="A150" s="15">
        <v>0.75</v>
      </c>
      <c r="B150" s="75">
        <v>0.63824536728581382</v>
      </c>
      <c r="C150" s="15">
        <v>57.572437695995397</v>
      </c>
      <c r="E150" s="15">
        <v>0.75</v>
      </c>
      <c r="F150" s="75">
        <v>0.75986941347635129</v>
      </c>
      <c r="G150" s="15">
        <v>77.119824215884904</v>
      </c>
      <c r="I150" s="15">
        <v>0.75</v>
      </c>
      <c r="J150" s="75">
        <v>0.77811641929693287</v>
      </c>
      <c r="K150" s="15">
        <v>64.206280849663301</v>
      </c>
      <c r="M150" s="107"/>
      <c r="N150" s="19"/>
      <c r="O150" s="107"/>
    </row>
    <row r="151" spans="1:16" ht="12.75">
      <c r="A151" s="15">
        <v>0.8</v>
      </c>
      <c r="B151" s="75">
        <v>0.63334632517173661</v>
      </c>
      <c r="C151" s="15">
        <v>57.495420283877102</v>
      </c>
      <c r="E151" s="15">
        <v>0.8</v>
      </c>
      <c r="F151" s="75">
        <v>0.80701465226354641</v>
      </c>
      <c r="G151" s="15">
        <v>77.0439491912108</v>
      </c>
      <c r="I151" s="15">
        <v>0.8</v>
      </c>
      <c r="J151" s="75">
        <v>0.79934531604126646</v>
      </c>
      <c r="K151" s="15">
        <v>64.163018302755006</v>
      </c>
      <c r="M151" s="107"/>
      <c r="N151" s="19"/>
      <c r="O151" s="107"/>
    </row>
    <row r="152" spans="1:16" ht="12.75">
      <c r="A152" s="15">
        <v>0.85</v>
      </c>
      <c r="B152" s="75">
        <v>0.63709315785979026</v>
      </c>
      <c r="C152" s="15">
        <v>57.5866614252948</v>
      </c>
      <c r="E152" s="15">
        <v>0.85</v>
      </c>
      <c r="F152" s="75">
        <v>0.8544777114741029</v>
      </c>
      <c r="G152" s="15">
        <v>76.981441939314294</v>
      </c>
      <c r="I152" s="15">
        <v>0.85</v>
      </c>
      <c r="J152" s="75">
        <v>0.82891303262069149</v>
      </c>
      <c r="K152" s="15">
        <v>64.2326528851262</v>
      </c>
      <c r="M152" s="107"/>
      <c r="N152" s="19"/>
      <c r="O152" s="107"/>
    </row>
    <row r="153" spans="1:16" ht="12.75">
      <c r="A153" s="15">
        <v>0.9</v>
      </c>
      <c r="B153" s="75">
        <v>0.65992979845120225</v>
      </c>
      <c r="C153" s="15">
        <v>58.241861410986999</v>
      </c>
      <c r="E153" s="15">
        <v>0.9</v>
      </c>
      <c r="F153" s="75">
        <v>0.90238058444114311</v>
      </c>
      <c r="G153" s="15">
        <v>76.9323526366002</v>
      </c>
      <c r="I153" s="15">
        <v>0.9</v>
      </c>
      <c r="J153" s="75">
        <v>0.86922317674784266</v>
      </c>
      <c r="K153" s="15">
        <v>64.485324503627098</v>
      </c>
      <c r="M153" s="107"/>
      <c r="N153" s="19"/>
      <c r="O153" s="107"/>
    </row>
    <row r="154" spans="1:16" ht="12.75">
      <c r="A154" s="15">
        <v>0.95</v>
      </c>
      <c r="B154" s="75">
        <v>0.73146372385137293</v>
      </c>
      <c r="C154" s="15">
        <v>60.541623113090601</v>
      </c>
      <c r="E154" s="15">
        <v>0.95</v>
      </c>
      <c r="F154" s="75">
        <v>0.95084633477589753</v>
      </c>
      <c r="G154" s="15">
        <v>76.896781224814205</v>
      </c>
      <c r="I154" s="15">
        <v>0.95</v>
      </c>
      <c r="J154" s="75">
        <v>0.92408873079857479</v>
      </c>
      <c r="K154" s="15">
        <v>65.015902084323201</v>
      </c>
      <c r="M154" s="107"/>
      <c r="N154" s="19"/>
      <c r="O154" s="107"/>
    </row>
    <row r="155" spans="1:16" ht="12.75">
      <c r="A155" s="15">
        <v>1</v>
      </c>
      <c r="B155" s="75">
        <v>0.99999843723780824</v>
      </c>
      <c r="C155" s="15">
        <v>68.933179509020803</v>
      </c>
      <c r="E155" s="15">
        <v>1</v>
      </c>
      <c r="F155" s="75">
        <v>1.0000010324313624</v>
      </c>
      <c r="G155" s="15">
        <v>76.874911572605399</v>
      </c>
      <c r="I155" s="15">
        <v>1</v>
      </c>
      <c r="J155" s="75">
        <v>0.99999893661933525</v>
      </c>
      <c r="K155" s="15">
        <v>65.965715787329501</v>
      </c>
      <c r="M155" s="107"/>
      <c r="N155" s="19"/>
      <c r="O155" s="107"/>
    </row>
    <row r="156" spans="1:16" ht="12.75">
      <c r="B156" s="6"/>
      <c r="F156" s="6"/>
      <c r="J156" s="6"/>
      <c r="N156" s="6"/>
    </row>
    <row r="157" spans="1:16" ht="12.75">
      <c r="B157" s="6"/>
      <c r="F157" s="6"/>
      <c r="J157" s="6"/>
      <c r="N157" s="6"/>
    </row>
    <row r="158" spans="1:16">
      <c r="A158" s="54" t="s">
        <v>131</v>
      </c>
      <c r="B158" s="55"/>
      <c r="C158" s="56"/>
      <c r="D158" s="73"/>
      <c r="E158" s="56"/>
      <c r="F158" s="55"/>
      <c r="G158" s="56"/>
      <c r="H158" s="56"/>
      <c r="I158" s="56"/>
      <c r="J158" s="55"/>
      <c r="K158" s="56"/>
      <c r="L158" s="56"/>
      <c r="M158" s="56"/>
      <c r="N158" s="55"/>
      <c r="O158" s="56"/>
      <c r="P158" s="56"/>
    </row>
    <row r="159" spans="1:16" ht="12.75">
      <c r="B159" s="6"/>
      <c r="F159" s="6"/>
      <c r="J159" s="6"/>
      <c r="N159" s="6"/>
    </row>
    <row r="160" spans="1:16">
      <c r="A160" s="7" t="s">
        <v>3</v>
      </c>
      <c r="B160" s="8" t="s">
        <v>12</v>
      </c>
      <c r="C160" s="9"/>
      <c r="D160" s="9"/>
      <c r="E160" s="7" t="s">
        <v>3</v>
      </c>
      <c r="F160" s="8" t="s">
        <v>22</v>
      </c>
      <c r="G160" s="9"/>
      <c r="I160" s="7" t="s">
        <v>3</v>
      </c>
      <c r="J160" s="8" t="s">
        <v>25</v>
      </c>
      <c r="K160" s="9"/>
      <c r="L160" s="9"/>
      <c r="M160" s="7" t="s">
        <v>3</v>
      </c>
      <c r="N160" s="8" t="s">
        <v>28</v>
      </c>
      <c r="O160" s="9"/>
    </row>
    <row r="161" spans="1:15" ht="15">
      <c r="A161" s="9"/>
      <c r="B161" s="8"/>
      <c r="C161" s="9"/>
      <c r="D161" s="9"/>
      <c r="E161" s="9"/>
      <c r="F161" s="8"/>
      <c r="G161" s="9"/>
      <c r="I161" s="9"/>
      <c r="J161" s="8"/>
      <c r="K161" s="9"/>
      <c r="L161" s="9"/>
      <c r="M161" s="9"/>
      <c r="N161" s="8"/>
      <c r="O161" s="9"/>
    </row>
    <row r="162" spans="1:15" ht="12.75">
      <c r="A162" s="11" t="s">
        <v>8</v>
      </c>
      <c r="B162" s="12" t="s">
        <v>9</v>
      </c>
      <c r="C162" s="11" t="s">
        <v>10</v>
      </c>
      <c r="E162" s="11" t="s">
        <v>8</v>
      </c>
      <c r="F162" s="12" t="s">
        <v>9</v>
      </c>
      <c r="G162" s="11" t="s">
        <v>10</v>
      </c>
      <c r="I162" s="11" t="s">
        <v>8</v>
      </c>
      <c r="J162" s="12" t="s">
        <v>9</v>
      </c>
      <c r="K162" s="11" t="s">
        <v>10</v>
      </c>
      <c r="M162" s="11" t="s">
        <v>8</v>
      </c>
      <c r="N162" s="12" t="s">
        <v>9</v>
      </c>
      <c r="O162" s="11" t="s">
        <v>10</v>
      </c>
    </row>
    <row r="163" spans="1:15" ht="12.75">
      <c r="A163" s="15">
        <v>0</v>
      </c>
      <c r="B163" s="16">
        <v>0</v>
      </c>
      <c r="C163" s="15">
        <v>99.377363492792497</v>
      </c>
      <c r="E163" s="15">
        <v>0</v>
      </c>
      <c r="F163" s="75">
        <v>0</v>
      </c>
      <c r="G163" s="15">
        <v>99.3773634919269</v>
      </c>
      <c r="I163" s="15">
        <v>0</v>
      </c>
      <c r="J163" s="75">
        <v>0</v>
      </c>
      <c r="K163" s="15">
        <v>78.011677138454104</v>
      </c>
      <c r="M163" s="15">
        <v>0</v>
      </c>
      <c r="N163" s="75">
        <v>0</v>
      </c>
      <c r="O163" s="15">
        <v>63.983495317842603</v>
      </c>
    </row>
    <row r="164" spans="1:15" ht="12.75">
      <c r="A164" s="15">
        <v>0.05</v>
      </c>
      <c r="B164" s="16">
        <v>0.34649457603197664</v>
      </c>
      <c r="C164" s="15">
        <v>88.881709977747605</v>
      </c>
      <c r="E164" s="15">
        <v>0.05</v>
      </c>
      <c r="F164" s="75">
        <v>0.42075389498806304</v>
      </c>
      <c r="G164" s="15">
        <v>85.8560733608671</v>
      </c>
      <c r="I164" s="15">
        <v>0.05</v>
      </c>
      <c r="J164" s="75">
        <v>0.10713265931944919</v>
      </c>
      <c r="K164" s="15">
        <v>76.408706737777194</v>
      </c>
      <c r="M164" s="15">
        <v>0.05</v>
      </c>
      <c r="N164" s="75">
        <v>0.1423508397335812</v>
      </c>
      <c r="O164" s="15">
        <v>61.359161269056401</v>
      </c>
    </row>
    <row r="165" spans="1:15" ht="12.75">
      <c r="A165" s="15">
        <v>0.1</v>
      </c>
      <c r="B165" s="16">
        <v>0.39582464729629757</v>
      </c>
      <c r="C165" s="15">
        <v>87.227282737625202</v>
      </c>
      <c r="E165" s="15">
        <v>0.1</v>
      </c>
      <c r="F165" s="75">
        <v>0.49928699374297297</v>
      </c>
      <c r="G165" s="15">
        <v>82.732822006567901</v>
      </c>
      <c r="I165" s="15">
        <v>0.1</v>
      </c>
      <c r="J165" s="75">
        <v>0.18868742945070566</v>
      </c>
      <c r="K165" s="15">
        <v>75.207414950856702</v>
      </c>
      <c r="M165" s="15">
        <v>0.1</v>
      </c>
      <c r="N165" s="75">
        <v>0.24448345218254355</v>
      </c>
      <c r="O165" s="15">
        <v>59.39019613696</v>
      </c>
    </row>
    <row r="166" spans="1:15" ht="12.75">
      <c r="A166" s="15">
        <v>0.15</v>
      </c>
      <c r="B166" s="16">
        <v>0.40213521240321964</v>
      </c>
      <c r="C166" s="15">
        <v>87.034871157555102</v>
      </c>
      <c r="E166" s="15">
        <v>0.15</v>
      </c>
      <c r="F166" s="75">
        <v>0.52449664455163936</v>
      </c>
      <c r="G166" s="15">
        <v>81.749823450681404</v>
      </c>
      <c r="I166" s="15">
        <v>0.15</v>
      </c>
      <c r="J166" s="75">
        <v>0.25321633252812187</v>
      </c>
      <c r="K166" s="15">
        <v>74.297042333502105</v>
      </c>
      <c r="M166" s="15">
        <v>0.15</v>
      </c>
      <c r="N166" s="75">
        <v>0.3210655349974349</v>
      </c>
      <c r="O166" s="15">
        <v>57.891129155586597</v>
      </c>
    </row>
    <row r="167" spans="1:15" ht="12.75">
      <c r="A167" s="15">
        <v>0.2</v>
      </c>
      <c r="B167" s="16">
        <v>0.39889186755590511</v>
      </c>
      <c r="C167" s="15">
        <v>87.1108484374315</v>
      </c>
      <c r="E167" s="15">
        <v>0.2</v>
      </c>
      <c r="F167" s="75">
        <v>0.53455684431898254</v>
      </c>
      <c r="G167" s="15">
        <v>81.392075854959302</v>
      </c>
      <c r="I167" s="15">
        <v>0.2</v>
      </c>
      <c r="J167" s="75">
        <v>0.30607230251272161</v>
      </c>
      <c r="K167" s="15">
        <v>73.601901103886604</v>
      </c>
      <c r="M167" s="15">
        <v>0.2</v>
      </c>
      <c r="N167" s="75">
        <v>0.3806607109230235</v>
      </c>
      <c r="O167" s="15">
        <v>56.737030013074403</v>
      </c>
    </row>
    <row r="168" spans="1:15" ht="12.75">
      <c r="A168" s="15">
        <v>0.25</v>
      </c>
      <c r="B168" s="16">
        <v>0.39502590413018335</v>
      </c>
      <c r="C168" s="15">
        <v>87.181910062750802</v>
      </c>
      <c r="E168" s="15">
        <v>0.25</v>
      </c>
      <c r="F168" s="75">
        <v>0.54029196380555233</v>
      </c>
      <c r="G168" s="15">
        <v>81.2134977250209</v>
      </c>
      <c r="I168" s="15">
        <v>0.25</v>
      </c>
      <c r="J168" s="75">
        <v>0.3507832796010994</v>
      </c>
      <c r="K168" s="15">
        <v>73.069380295447203</v>
      </c>
      <c r="M168" s="15">
        <v>0.25</v>
      </c>
      <c r="N168" s="75">
        <v>0.42858567022975341</v>
      </c>
      <c r="O168" s="15">
        <v>55.840938172705002</v>
      </c>
    </row>
    <row r="169" spans="1:15" ht="12.75">
      <c r="A169" s="15">
        <v>0.3</v>
      </c>
      <c r="B169" s="16">
        <v>0.39349337258788492</v>
      </c>
      <c r="C169" s="15">
        <v>87.202679497980299</v>
      </c>
      <c r="E169" s="15">
        <v>0.3</v>
      </c>
      <c r="F169" s="75">
        <v>0.54578540193742497</v>
      </c>
      <c r="G169" s="15">
        <v>81.067800656063</v>
      </c>
      <c r="I169" s="15">
        <v>0.3</v>
      </c>
      <c r="J169" s="75">
        <v>0.3897853127369168</v>
      </c>
      <c r="K169" s="15">
        <v>72.662548175069702</v>
      </c>
      <c r="M169" s="15">
        <v>0.3</v>
      </c>
      <c r="N169" s="75">
        <v>0.46832371448621191</v>
      </c>
      <c r="O169" s="15">
        <v>55.140795976718501</v>
      </c>
    </row>
    <row r="170" spans="1:15" ht="12.75">
      <c r="A170" s="15">
        <v>0.35</v>
      </c>
      <c r="B170" s="16">
        <v>0.39534419412214694</v>
      </c>
      <c r="C170" s="15">
        <v>87.190751658015301</v>
      </c>
      <c r="E170" s="15">
        <v>0.35</v>
      </c>
      <c r="F170" s="75">
        <v>0.55282024445697808</v>
      </c>
      <c r="G170" s="15">
        <v>80.912157537126006</v>
      </c>
      <c r="I170" s="15">
        <v>0.35</v>
      </c>
      <c r="J170" s="75">
        <v>0.42483785396764889</v>
      </c>
      <c r="K170" s="15">
        <v>72.355578509613807</v>
      </c>
      <c r="M170" s="15">
        <v>0.35</v>
      </c>
      <c r="N170" s="75">
        <v>0.50227332302550731</v>
      </c>
      <c r="O170" s="15">
        <v>54.591584518705801</v>
      </c>
    </row>
    <row r="171" spans="1:15" ht="30" customHeight="1">
      <c r="A171" s="15">
        <v>0.4</v>
      </c>
      <c r="B171" s="16">
        <v>0.40097705185562338</v>
      </c>
      <c r="C171" s="15">
        <v>87.178729056145102</v>
      </c>
      <c r="E171" s="15">
        <v>0.4</v>
      </c>
      <c r="F171" s="75">
        <v>0.56225622499810068</v>
      </c>
      <c r="G171" s="15">
        <v>80.742268765530497</v>
      </c>
      <c r="I171" s="15">
        <v>0.4</v>
      </c>
      <c r="J171" s="75">
        <v>0.45727163139943539</v>
      </c>
      <c r="K171" s="15">
        <v>72.130810974311402</v>
      </c>
      <c r="M171" s="15">
        <v>0.4</v>
      </c>
      <c r="N171" s="75">
        <v>0.53216964988115023</v>
      </c>
      <c r="O171" s="15">
        <v>54.160477217626003</v>
      </c>
    </row>
    <row r="172" spans="1:15" ht="12.75">
      <c r="A172" s="15">
        <v>0.45</v>
      </c>
      <c r="B172" s="16">
        <v>0.41060020490108118</v>
      </c>
      <c r="C172" s="15">
        <v>87.199639991536003</v>
      </c>
      <c r="E172" s="15">
        <v>0.45</v>
      </c>
      <c r="F172" s="75">
        <v>0.57455646104401759</v>
      </c>
      <c r="G172" s="15">
        <v>80.567903141229095</v>
      </c>
      <c r="I172" s="15">
        <v>0.45</v>
      </c>
      <c r="J172" s="75">
        <v>0.48814469425727275</v>
      </c>
      <c r="K172" s="15">
        <v>71.976844403185396</v>
      </c>
      <c r="M172" s="15">
        <v>0.45</v>
      </c>
      <c r="N172" s="75">
        <v>0.55933539500192664</v>
      </c>
      <c r="O172" s="15">
        <v>53.823770501219201</v>
      </c>
    </row>
    <row r="173" spans="1:15" ht="12.75">
      <c r="A173" s="15">
        <v>0.5</v>
      </c>
      <c r="B173" s="16">
        <v>0.42441837425552059</v>
      </c>
      <c r="C173" s="15">
        <v>87.282919145305002</v>
      </c>
      <c r="E173" s="15">
        <v>0.5</v>
      </c>
      <c r="F173" s="75">
        <v>0.59001831111586089</v>
      </c>
      <c r="G173" s="15">
        <v>80.403137959356101</v>
      </c>
      <c r="I173" s="15">
        <v>0.5</v>
      </c>
      <c r="J173" s="75">
        <v>0.51834698475500596</v>
      </c>
      <c r="K173" s="15">
        <v>71.887326664693305</v>
      </c>
      <c r="M173" s="15">
        <v>0.5</v>
      </c>
      <c r="N173" s="75">
        <v>0.584840140752239</v>
      </c>
      <c r="O173" s="15">
        <v>53.564979535719502</v>
      </c>
    </row>
    <row r="174" spans="1:15" ht="12.75">
      <c r="A174" s="15">
        <v>0.55000000000000004</v>
      </c>
      <c r="B174" s="16">
        <v>0.44272550366446695</v>
      </c>
      <c r="C174" s="15">
        <v>87.454343955166806</v>
      </c>
      <c r="E174" s="15">
        <v>0.55000000000000004</v>
      </c>
      <c r="F174" s="75">
        <v>0.60888574253640648</v>
      </c>
      <c r="G174" s="15">
        <v>80.262496382400698</v>
      </c>
      <c r="I174" s="15">
        <v>0.55000000000000004</v>
      </c>
      <c r="J174" s="75">
        <v>0.54867533372135968</v>
      </c>
      <c r="K174" s="15">
        <v>71.860191735267193</v>
      </c>
      <c r="M174" s="15">
        <v>0.55000000000000004</v>
      </c>
      <c r="N174" s="75">
        <v>0.60960902274409834</v>
      </c>
      <c r="O174" s="15">
        <v>53.373684890829502</v>
      </c>
    </row>
    <row r="175" spans="1:15" ht="12.75">
      <c r="A175" s="15">
        <v>0.6</v>
      </c>
      <c r="B175" s="16">
        <v>0.46596481192913214</v>
      </c>
      <c r="C175" s="15">
        <v>87.737220824336305</v>
      </c>
      <c r="E175" s="15">
        <v>0.6</v>
      </c>
      <c r="F175" s="75">
        <v>0.63140912390052328</v>
      </c>
      <c r="G175" s="15">
        <v>80.159545803172904</v>
      </c>
      <c r="I175" s="15">
        <v>0.6</v>
      </c>
      <c r="J175" s="75">
        <v>0.57989388817333998</v>
      </c>
      <c r="K175" s="15">
        <v>71.897298416900696</v>
      </c>
      <c r="M175" s="15">
        <v>0.6</v>
      </c>
      <c r="N175" s="75">
        <v>0.63450564368707574</v>
      </c>
      <c r="O175" s="15">
        <v>53.244971828071797</v>
      </c>
    </row>
    <row r="176" spans="1:15" ht="12.75">
      <c r="A176" s="15">
        <v>0.65</v>
      </c>
      <c r="B176" s="16">
        <v>0.4947788488606738</v>
      </c>
      <c r="C176" s="15">
        <v>88.153625164418997</v>
      </c>
      <c r="E176" s="15">
        <v>0.65</v>
      </c>
      <c r="F176" s="75">
        <v>0.65788176361064077</v>
      </c>
      <c r="G176" s="15">
        <v>80.106575883691306</v>
      </c>
      <c r="I176" s="15">
        <v>0.65</v>
      </c>
      <c r="J176" s="75">
        <v>0.61278884483330853</v>
      </c>
      <c r="K176" s="15">
        <v>72.004366381408204</v>
      </c>
      <c r="M176" s="15">
        <v>0.65</v>
      </c>
      <c r="N176" s="75">
        <v>0.66040448901118076</v>
      </c>
      <c r="O176" s="15">
        <v>53.179341136523298</v>
      </c>
    </row>
    <row r="177" spans="1:15" ht="12.75">
      <c r="A177" s="15">
        <v>0.7</v>
      </c>
      <c r="B177" s="16">
        <v>0.53007378516665726</v>
      </c>
      <c r="C177" s="15">
        <v>88.725877251567894</v>
      </c>
      <c r="E177" s="15">
        <v>0.7</v>
      </c>
      <c r="F177" s="75">
        <v>0.6886666665659944</v>
      </c>
      <c r="G177" s="15">
        <v>80.114735803083093</v>
      </c>
      <c r="I177" s="15">
        <v>0.7</v>
      </c>
      <c r="J177" s="75">
        <v>0.64822638875515581</v>
      </c>
      <c r="K177" s="15">
        <v>72.191241325836003</v>
      </c>
      <c r="M177" s="15">
        <v>0.7</v>
      </c>
      <c r="N177" s="75">
        <v>0.68826688687355286</v>
      </c>
      <c r="O177" s="15">
        <v>53.183137202285799</v>
      </c>
    </row>
    <row r="178" spans="1:15" ht="12.75">
      <c r="A178" s="15">
        <v>0.75</v>
      </c>
      <c r="B178" s="16">
        <v>0.57311336058429863</v>
      </c>
      <c r="C178" s="15">
        <v>89.478229852949795</v>
      </c>
      <c r="E178" s="15">
        <v>0.75</v>
      </c>
      <c r="F178" s="75">
        <v>0.72422045218772058</v>
      </c>
      <c r="G178" s="15">
        <v>80.194347671804195</v>
      </c>
      <c r="I178" s="15">
        <v>0.75</v>
      </c>
      <c r="J178" s="75">
        <v>0.6872237906772567</v>
      </c>
      <c r="K178" s="15">
        <v>72.472570448832997</v>
      </c>
      <c r="M178" s="15">
        <v>0.75</v>
      </c>
      <c r="N178" s="75">
        <v>0.71923410803004939</v>
      </c>
      <c r="O178" s="15">
        <v>53.269554617432703</v>
      </c>
    </row>
    <row r="179" spans="1:15" ht="12.75">
      <c r="A179" s="15">
        <v>0.8</v>
      </c>
      <c r="B179" s="16">
        <v>0.62565302278451529</v>
      </c>
      <c r="C179" s="15">
        <v>90.438475376434198</v>
      </c>
      <c r="E179" s="15">
        <v>0.8</v>
      </c>
      <c r="F179" s="75">
        <v>0.76511948669764684</v>
      </c>
      <c r="G179" s="15">
        <v>80.355296735455795</v>
      </c>
      <c r="I179" s="15">
        <v>0.8</v>
      </c>
      <c r="J179" s="75">
        <v>0.73104618992092163</v>
      </c>
      <c r="K179" s="15">
        <v>72.868988690099499</v>
      </c>
      <c r="M179" s="15">
        <v>0.8</v>
      </c>
      <c r="N179" s="75">
        <v>0.75476037374284122</v>
      </c>
      <c r="O179" s="15">
        <v>53.460539999321199</v>
      </c>
    </row>
    <row r="180" spans="1:15" ht="12.75">
      <c r="A180" s="15">
        <v>0.85</v>
      </c>
      <c r="B180" s="16">
        <v>0.69016620710074073</v>
      </c>
      <c r="C180" s="15">
        <v>91.640586405987094</v>
      </c>
      <c r="E180" s="15">
        <v>0.85</v>
      </c>
      <c r="F180" s="75">
        <v>0.81209205412464314</v>
      </c>
      <c r="G180" s="15">
        <v>80.607456028981005</v>
      </c>
      <c r="I180" s="15">
        <v>0.85</v>
      </c>
      <c r="J180" s="75">
        <v>0.78135242231148916</v>
      </c>
      <c r="K180" s="15">
        <v>73.409147784393596</v>
      </c>
      <c r="M180" s="15">
        <v>0.85</v>
      </c>
      <c r="N180" s="75">
        <v>0.79682212091396454</v>
      </c>
      <c r="O180" s="15">
        <v>53.790061863995703</v>
      </c>
    </row>
    <row r="181" spans="1:15" ht="12.75">
      <c r="A181" s="15">
        <v>0.9</v>
      </c>
      <c r="B181" s="16">
        <v>0.77017780213008358</v>
      </c>
      <c r="C181" s="15">
        <v>93.127115588271906</v>
      </c>
      <c r="E181" s="15">
        <v>0.9</v>
      </c>
      <c r="F181" s="75">
        <v>0.86605996949409758</v>
      </c>
      <c r="G181" s="15">
        <v>80.961121304996297</v>
      </c>
      <c r="I181" s="15">
        <v>0.9</v>
      </c>
      <c r="J181" s="75">
        <v>0.84043045396048566</v>
      </c>
      <c r="K181" s="15">
        <v>74.133101627550602</v>
      </c>
      <c r="M181" s="15">
        <v>0.9</v>
      </c>
      <c r="N181" s="75">
        <v>0.84827878620873942</v>
      </c>
      <c r="O181" s="15">
        <v>54.309844375096901</v>
      </c>
    </row>
    <row r="182" spans="1:15" ht="12.75">
      <c r="A182" s="15">
        <v>0.95</v>
      </c>
      <c r="B182" s="16">
        <v>0.87085161100417741</v>
      </c>
      <c r="C182" s="15">
        <v>94.9538335081063</v>
      </c>
      <c r="E182" s="15">
        <v>0.95</v>
      </c>
      <c r="F182" s="75">
        <v>0.92819558328862639</v>
      </c>
      <c r="G182" s="15">
        <v>81.427498142795997</v>
      </c>
      <c r="I182" s="15">
        <v>0.95</v>
      </c>
      <c r="J182" s="75">
        <v>0.91160492778606006</v>
      </c>
      <c r="K182" s="15">
        <v>75.098123138444805</v>
      </c>
      <c r="M182" s="15">
        <v>0.95</v>
      </c>
      <c r="N182" s="75">
        <v>0.91354849728025245</v>
      </c>
      <c r="O182" s="15">
        <v>55.099833848324003</v>
      </c>
    </row>
    <row r="183" spans="1:15" ht="12.75">
      <c r="A183" s="15">
        <v>1</v>
      </c>
      <c r="B183" s="16">
        <v>1.0000016233539395</v>
      </c>
      <c r="C183" s="15">
        <v>97.196340984402795</v>
      </c>
      <c r="E183" s="15">
        <v>1</v>
      </c>
      <c r="F183" s="75">
        <v>0.99999946856653488</v>
      </c>
      <c r="G183" s="15">
        <v>82.019217239188905</v>
      </c>
      <c r="I183" s="15">
        <v>1</v>
      </c>
      <c r="J183" s="75">
        <v>0.99999911172716061</v>
      </c>
      <c r="K183" s="15">
        <v>76.389277446961501</v>
      </c>
      <c r="M183" s="15">
        <v>1</v>
      </c>
      <c r="N183" s="75">
        <v>1.0000000274166385</v>
      </c>
      <c r="O183" s="15">
        <v>56.288744250465598</v>
      </c>
    </row>
    <row r="184" spans="1:15" ht="12.75">
      <c r="B184" s="6"/>
      <c r="F184" s="6"/>
      <c r="J184" s="6"/>
      <c r="N184" s="6"/>
    </row>
    <row r="185" spans="1:15" ht="12.75">
      <c r="B185" s="6"/>
      <c r="F185" s="6"/>
      <c r="J185" s="6"/>
      <c r="N185" s="6"/>
    </row>
    <row r="186" spans="1:15" ht="30" customHeight="1">
      <c r="A186" s="7" t="s">
        <v>3</v>
      </c>
      <c r="B186" s="8" t="s">
        <v>32</v>
      </c>
      <c r="C186" s="9"/>
      <c r="E186" s="7" t="s">
        <v>3</v>
      </c>
      <c r="F186" s="8" t="s">
        <v>35</v>
      </c>
      <c r="G186" s="9"/>
      <c r="I186" s="7" t="s">
        <v>3</v>
      </c>
      <c r="J186" s="8" t="s">
        <v>38</v>
      </c>
      <c r="K186" s="9"/>
      <c r="M186" s="7" t="s">
        <v>3</v>
      </c>
      <c r="N186" s="8" t="s">
        <v>39</v>
      </c>
      <c r="O186" s="9"/>
    </row>
    <row r="187" spans="1:15" ht="15">
      <c r="A187" s="9"/>
      <c r="B187" s="8"/>
      <c r="C187" s="9"/>
      <c r="E187" s="9"/>
      <c r="F187" s="8"/>
      <c r="G187" s="9"/>
      <c r="I187" s="9"/>
      <c r="J187" s="8"/>
      <c r="K187" s="9"/>
      <c r="M187" s="9"/>
      <c r="N187" s="8"/>
      <c r="O187" s="9"/>
    </row>
    <row r="188" spans="1:15" ht="12.75">
      <c r="A188" s="11" t="s">
        <v>8</v>
      </c>
      <c r="B188" s="12" t="s">
        <v>9</v>
      </c>
      <c r="C188" s="11" t="s">
        <v>10</v>
      </c>
      <c r="E188" s="11" t="s">
        <v>8</v>
      </c>
      <c r="F188" s="12" t="s">
        <v>9</v>
      </c>
      <c r="G188" s="11" t="s">
        <v>10</v>
      </c>
      <c r="I188" s="11" t="s">
        <v>8</v>
      </c>
      <c r="J188" s="12" t="s">
        <v>9</v>
      </c>
      <c r="K188" s="11" t="s">
        <v>10</v>
      </c>
      <c r="M188" s="11" t="s">
        <v>8</v>
      </c>
      <c r="N188" s="12" t="s">
        <v>9</v>
      </c>
      <c r="O188" s="11" t="s">
        <v>10</v>
      </c>
    </row>
    <row r="189" spans="1:15" ht="12.75">
      <c r="A189" s="15">
        <v>0</v>
      </c>
      <c r="B189" s="75">
        <v>0</v>
      </c>
      <c r="C189" s="15">
        <v>99.377363492703594</v>
      </c>
      <c r="E189" s="15">
        <v>0</v>
      </c>
      <c r="F189" s="75">
        <v>0</v>
      </c>
      <c r="G189" s="15">
        <v>60.523644740037</v>
      </c>
      <c r="I189" s="15">
        <v>0</v>
      </c>
      <c r="J189" s="75">
        <v>0</v>
      </c>
      <c r="K189" s="15">
        <v>63.983516988444002</v>
      </c>
      <c r="M189" s="15">
        <v>0</v>
      </c>
      <c r="N189" s="75">
        <v>0</v>
      </c>
      <c r="O189" s="15">
        <v>117.100709161552</v>
      </c>
    </row>
    <row r="190" spans="1:15" ht="12.75">
      <c r="A190" s="15">
        <v>0.05</v>
      </c>
      <c r="B190" s="75">
        <v>0.60852443850293891</v>
      </c>
      <c r="C190" s="15">
        <v>76.269803548195696</v>
      </c>
      <c r="E190" s="15">
        <v>0.05</v>
      </c>
      <c r="F190" s="75">
        <v>2.8881439087224185E-2</v>
      </c>
      <c r="G190" s="15">
        <v>61.288425193131602</v>
      </c>
      <c r="I190" s="15">
        <v>0.05</v>
      </c>
      <c r="J190" s="75">
        <v>0.10952879319813592</v>
      </c>
      <c r="K190" s="15">
        <v>62.312880821969202</v>
      </c>
      <c r="M190" s="15">
        <v>0.05</v>
      </c>
      <c r="N190" s="75">
        <v>0.22243569565671747</v>
      </c>
      <c r="O190" s="15">
        <v>111.561056062837</v>
      </c>
    </row>
    <row r="191" spans="1:15" ht="12.75">
      <c r="A191" s="15">
        <v>0.1</v>
      </c>
      <c r="B191" s="75">
        <v>0.73638550814652737</v>
      </c>
      <c r="C191" s="15">
        <v>67.816953177515401</v>
      </c>
      <c r="E191" s="15">
        <v>0.1</v>
      </c>
      <c r="F191" s="75">
        <v>6.5772249098148272E-2</v>
      </c>
      <c r="G191" s="15">
        <v>62.022403383605102</v>
      </c>
      <c r="I191" s="15">
        <v>0.1</v>
      </c>
      <c r="J191" s="75">
        <v>0.19726778008510409</v>
      </c>
      <c r="K191" s="15">
        <v>60.953509622109998</v>
      </c>
      <c r="M191" s="15">
        <v>0.1</v>
      </c>
      <c r="N191" s="75">
        <v>0.37219168732747465</v>
      </c>
      <c r="O191" s="15">
        <v>107.237275652976</v>
      </c>
    </row>
    <row r="192" spans="1:15" ht="12.75">
      <c r="A192" s="15">
        <v>0.15</v>
      </c>
      <c r="B192" s="75">
        <v>0.78391618779865957</v>
      </c>
      <c r="C192" s="15">
        <v>63.930954715279199</v>
      </c>
      <c r="E192" s="15">
        <v>0.15</v>
      </c>
      <c r="F192" s="75">
        <v>0.11068305576209626</v>
      </c>
      <c r="G192" s="15">
        <v>62.678022024310003</v>
      </c>
      <c r="I192" s="15">
        <v>0.15</v>
      </c>
      <c r="J192" s="75">
        <v>0.26953187380801136</v>
      </c>
      <c r="K192" s="15">
        <v>59.835654398370203</v>
      </c>
      <c r="M192" s="15">
        <v>0.15</v>
      </c>
      <c r="N192" s="75">
        <v>0.47868729623984207</v>
      </c>
      <c r="O192" s="15">
        <v>103.77900272783999</v>
      </c>
    </row>
    <row r="193" spans="1:15" ht="12.75">
      <c r="A193" s="15">
        <v>0.2</v>
      </c>
      <c r="B193" s="75">
        <v>0.80598707704072381</v>
      </c>
      <c r="C193" s="15">
        <v>61.975947989340597</v>
      </c>
      <c r="E193" s="15">
        <v>0.2</v>
      </c>
      <c r="F193" s="75">
        <v>0.16312623160605111</v>
      </c>
      <c r="G193" s="15">
        <v>63.2159792596036</v>
      </c>
      <c r="I193" s="15">
        <v>0.2</v>
      </c>
      <c r="J193" s="75">
        <v>0.33057784751053798</v>
      </c>
      <c r="K193" s="15">
        <v>58.907677610169699</v>
      </c>
      <c r="M193" s="15">
        <v>0.2</v>
      </c>
      <c r="N193" s="75">
        <v>0.5574609138483011</v>
      </c>
      <c r="O193" s="15">
        <v>100.972293689559</v>
      </c>
    </row>
    <row r="194" spans="1:15" ht="12.75">
      <c r="A194" s="15">
        <v>0.25</v>
      </c>
      <c r="B194" s="75">
        <v>0.81737676930814984</v>
      </c>
      <c r="C194" s="15">
        <v>60.953588376671199</v>
      </c>
      <c r="E194" s="15">
        <v>0.25</v>
      </c>
      <c r="F194" s="75">
        <v>0.22211546767635162</v>
      </c>
      <c r="G194" s="15">
        <v>63.606792611719797</v>
      </c>
      <c r="I194" s="15">
        <v>0.25</v>
      </c>
      <c r="J194" s="75">
        <v>0.38337893604387258</v>
      </c>
      <c r="K194" s="15">
        <v>58.130965264232003</v>
      </c>
      <c r="M194" s="15">
        <v>0.25</v>
      </c>
      <c r="N194" s="75">
        <v>0.61742874910732115</v>
      </c>
      <c r="O194" s="15">
        <v>98.678300387396604</v>
      </c>
    </row>
    <row r="195" spans="1:15" ht="12.75">
      <c r="A195" s="15">
        <v>0.3</v>
      </c>
      <c r="B195" s="75">
        <v>0.82368780557508625</v>
      </c>
      <c r="C195" s="15">
        <v>60.4015707192452</v>
      </c>
      <c r="E195" s="15">
        <v>0.3</v>
      </c>
      <c r="F195" s="75">
        <v>0.28623786386653771</v>
      </c>
      <c r="G195" s="15">
        <v>63.831787818100601</v>
      </c>
      <c r="I195" s="15">
        <v>0.3</v>
      </c>
      <c r="J195" s="75">
        <v>0.43008064015137332</v>
      </c>
      <c r="K195" s="15">
        <v>57.4762935394482</v>
      </c>
      <c r="M195" s="15">
        <v>0.3</v>
      </c>
      <c r="N195" s="75">
        <v>0.66403018950015202</v>
      </c>
      <c r="O195" s="15">
        <v>96.802817869169502</v>
      </c>
    </row>
    <row r="196" spans="1:15" ht="12.75">
      <c r="A196" s="15">
        <v>0.35</v>
      </c>
      <c r="B196" s="75">
        <v>0.82755979177996186</v>
      </c>
      <c r="C196" s="15">
        <v>60.079901392535099</v>
      </c>
      <c r="E196" s="15">
        <v>0.35</v>
      </c>
      <c r="F196" s="75">
        <v>0.35378878079386655</v>
      </c>
      <c r="G196" s="15">
        <v>63.883188238170199</v>
      </c>
      <c r="I196" s="15">
        <v>0.35</v>
      </c>
      <c r="J196" s="75">
        <v>0.47228261685466566</v>
      </c>
      <c r="K196" s="15">
        <v>56.921547940706297</v>
      </c>
      <c r="M196" s="15">
        <v>0.35</v>
      </c>
      <c r="N196" s="75">
        <v>0.70073568501501582</v>
      </c>
      <c r="O196" s="15">
        <v>95.2797148480239</v>
      </c>
    </row>
    <row r="197" spans="1:15" ht="12.75">
      <c r="A197" s="15">
        <v>0.4</v>
      </c>
      <c r="B197" s="75">
        <v>0.83045130445553073</v>
      </c>
      <c r="C197" s="15">
        <v>59.855947509315897</v>
      </c>
      <c r="E197" s="15">
        <v>0.4</v>
      </c>
      <c r="F197" s="75">
        <v>0.42294371359277444</v>
      </c>
      <c r="G197" s="15">
        <v>63.763293873873998</v>
      </c>
      <c r="I197" s="15">
        <v>0.4</v>
      </c>
      <c r="J197" s="75">
        <v>0.51121363254430552</v>
      </c>
      <c r="K197" s="15">
        <v>56.449832489449101</v>
      </c>
      <c r="M197" s="15">
        <v>0.4</v>
      </c>
      <c r="N197" s="75">
        <v>0.72982689754429231</v>
      </c>
      <c r="O197" s="15">
        <v>94.061224656282306</v>
      </c>
    </row>
    <row r="198" spans="1:15" ht="12.75">
      <c r="A198" s="15">
        <v>0.45</v>
      </c>
      <c r="B198" s="75">
        <v>0.83327816694363988</v>
      </c>
      <c r="C198" s="15">
        <v>59.654631393922998</v>
      </c>
      <c r="E198" s="15">
        <v>0.45</v>
      </c>
      <c r="F198" s="75">
        <v>0.49193248400453066</v>
      </c>
      <c r="G198" s="15">
        <v>63.482840749629297</v>
      </c>
      <c r="I198" s="15">
        <v>0.45</v>
      </c>
      <c r="J198" s="75">
        <v>0.54785392324294602</v>
      </c>
      <c r="K198" s="15">
        <v>56.048616194821101</v>
      </c>
      <c r="M198" s="15">
        <v>0.45</v>
      </c>
      <c r="N198" s="75">
        <v>0.752821745742565</v>
      </c>
      <c r="O198" s="15">
        <v>93.111749514105</v>
      </c>
    </row>
    <row r="199" spans="1:15" ht="12.75">
      <c r="A199" s="15">
        <v>0.5</v>
      </c>
      <c r="B199" s="75">
        <v>0.83668134236639602</v>
      </c>
      <c r="C199" s="15">
        <v>59.4341070889515</v>
      </c>
      <c r="E199" s="15">
        <v>0.5</v>
      </c>
      <c r="F199" s="75">
        <v>0.5591843453450932</v>
      </c>
      <c r="G199" s="15">
        <v>63.058852157633098</v>
      </c>
      <c r="I199" s="15">
        <v>0.5</v>
      </c>
      <c r="J199" s="75">
        <v>0.5830130173124467</v>
      </c>
      <c r="K199" s="15">
        <v>55.7087298348576</v>
      </c>
      <c r="M199" s="15">
        <v>0.5</v>
      </c>
      <c r="N199" s="75">
        <v>0.7707125545233724</v>
      </c>
      <c r="O199" s="15">
        <v>92.403491825609294</v>
      </c>
    </row>
    <row r="200" spans="1:15" ht="12.75">
      <c r="A200" s="15">
        <v>0.55000000000000004</v>
      </c>
      <c r="B200" s="75">
        <v>0.84115481318614493</v>
      </c>
      <c r="C200" s="15">
        <v>59.172777543455297</v>
      </c>
      <c r="E200" s="15">
        <v>0.55000000000000004</v>
      </c>
      <c r="F200" s="75">
        <v>0.62342443624163679</v>
      </c>
      <c r="G200" s="15">
        <v>62.512342094245099</v>
      </c>
      <c r="I200" s="15">
        <v>0.55000000000000004</v>
      </c>
      <c r="J200" s="75">
        <v>0.61738800419448037</v>
      </c>
      <c r="K200" s="15">
        <v>55.4238417379051</v>
      </c>
      <c r="M200" s="15">
        <v>0.55000000000000004</v>
      </c>
      <c r="N200" s="75">
        <v>0.78409534223073796</v>
      </c>
      <c r="O200" s="15">
        <v>91.912817068586705</v>
      </c>
    </row>
    <row r="201" spans="1:15" ht="12.75">
      <c r="A201" s="15">
        <v>0.6</v>
      </c>
      <c r="B201" s="75">
        <v>0.84711427207153533</v>
      </c>
      <c r="C201" s="15">
        <v>58.861881174938503</v>
      </c>
      <c r="E201" s="15">
        <v>0.6</v>
      </c>
      <c r="F201" s="75">
        <v>0.683716335378452</v>
      </c>
      <c r="G201" s="15">
        <v>61.866167082656503</v>
      </c>
      <c r="I201" s="15">
        <v>0.6</v>
      </c>
      <c r="J201" s="75">
        <v>0.65160656162663955</v>
      </c>
      <c r="K201" s="15">
        <v>55.190053437955299</v>
      </c>
      <c r="M201" s="15">
        <v>0.6</v>
      </c>
      <c r="N201" s="75">
        <v>0.79322657053943735</v>
      </c>
      <c r="O201" s="15">
        <v>91.616480983725907</v>
      </c>
    </row>
    <row r="202" spans="1:15" ht="12.75">
      <c r="A202" s="15">
        <v>0.65</v>
      </c>
      <c r="B202" s="75">
        <v>0.85493949693071924</v>
      </c>
      <c r="C202" s="15">
        <v>58.5010629467752</v>
      </c>
      <c r="E202" s="15">
        <v>0.65</v>
      </c>
      <c r="F202" s="75">
        <v>0.73945766614362607</v>
      </c>
      <c r="G202" s="15">
        <v>61.143235007936198</v>
      </c>
      <c r="I202" s="15">
        <v>0.65</v>
      </c>
      <c r="J202" s="75">
        <v>0.68626481365662195</v>
      </c>
      <c r="K202" s="15">
        <v>55.005779559139903</v>
      </c>
      <c r="M202" s="15">
        <v>0.65</v>
      </c>
      <c r="N202" s="75">
        <v>0.79802098771915764</v>
      </c>
      <c r="O202" s="15">
        <v>91.4867609228059</v>
      </c>
    </row>
    <row r="203" spans="1:15" ht="12.75">
      <c r="A203" s="15">
        <v>0.7</v>
      </c>
      <c r="B203" s="75">
        <v>0.86500499122251828</v>
      </c>
      <c r="C203" s="15">
        <v>58.095659239654097</v>
      </c>
      <c r="E203" s="15">
        <v>0.7</v>
      </c>
      <c r="F203" s="75">
        <v>0.7903429965637655</v>
      </c>
      <c r="G203" s="15">
        <v>60.365188134176101</v>
      </c>
      <c r="I203" s="15">
        <v>0.7</v>
      </c>
      <c r="J203" s="75">
        <v>0.72195782195206093</v>
      </c>
      <c r="K203" s="15">
        <v>54.871583814077297</v>
      </c>
      <c r="M203" s="15">
        <v>0.7</v>
      </c>
      <c r="N203" s="75">
        <v>0.79798715709129331</v>
      </c>
      <c r="O203" s="15">
        <v>91.484036282901997</v>
      </c>
    </row>
    <row r="204" spans="1:15" ht="12.75">
      <c r="A204" s="15">
        <v>0.75</v>
      </c>
      <c r="B204" s="75">
        <v>0.87770597636196634</v>
      </c>
      <c r="C204" s="15">
        <v>57.655022347292402</v>
      </c>
      <c r="E204" s="15">
        <v>0.75</v>
      </c>
      <c r="F204" s="75">
        <v>0.83630914819013913</v>
      </c>
      <c r="G204" s="15">
        <v>59.551555728398</v>
      </c>
      <c r="I204" s="15">
        <v>0.75</v>
      </c>
      <c r="J204" s="75">
        <v>0.75930570061493508</v>
      </c>
      <c r="K204" s="15">
        <v>54.789999661932399</v>
      </c>
      <c r="M204" s="15">
        <v>0.75</v>
      </c>
      <c r="N204" s="75">
        <v>0.79209008845059548</v>
      </c>
      <c r="O204" s="15">
        <v>91.544590810340097</v>
      </c>
    </row>
    <row r="205" spans="1:15" ht="12.75">
      <c r="A205" s="15">
        <v>0.8</v>
      </c>
      <c r="B205" s="75">
        <v>0.89348550004851457</v>
      </c>
      <c r="C205" s="15">
        <v>57.191564354245401</v>
      </c>
      <c r="E205" s="15">
        <v>0.8</v>
      </c>
      <c r="F205" s="75">
        <v>0.87747515643151874</v>
      </c>
      <c r="G205" s="15">
        <v>58.719297164464699</v>
      </c>
      <c r="I205" s="15">
        <v>0.8</v>
      </c>
      <c r="J205" s="75">
        <v>0.79899591462258046</v>
      </c>
      <c r="K205" s="15">
        <v>54.766011654760497</v>
      </c>
      <c r="M205" s="15">
        <v>0.8</v>
      </c>
      <c r="N205" s="75">
        <v>0.77855575596704152</v>
      </c>
      <c r="O205" s="15">
        <v>91.560754190020106</v>
      </c>
    </row>
    <row r="206" spans="1:15" ht="12.75">
      <c r="A206" s="15">
        <v>0.85</v>
      </c>
      <c r="B206" s="75">
        <v>0.91286553979873719</v>
      </c>
      <c r="C206" s="15">
        <v>56.7202901703319</v>
      </c>
      <c r="E206" s="15">
        <v>0.85</v>
      </c>
      <c r="F206" s="75">
        <v>0.9140862311368565</v>
      </c>
      <c r="G206" s="15">
        <v>57.882669582288202</v>
      </c>
      <c r="I206" s="15">
        <v>0.85</v>
      </c>
      <c r="J206" s="75">
        <v>0.84182270751492749</v>
      </c>
      <c r="K206" s="15">
        <v>54.807245597243302</v>
      </c>
      <c r="M206" s="15">
        <v>0.85</v>
      </c>
      <c r="N206" s="75">
        <v>0.75485663903640132</v>
      </c>
      <c r="O206" s="15">
        <v>91.355101033653199</v>
      </c>
    </row>
    <row r="207" spans="1:15" ht="30" customHeight="1">
      <c r="A207" s="15">
        <v>0.9</v>
      </c>
      <c r="B207" s="75">
        <v>0.93648784182247846</v>
      </c>
      <c r="C207" s="15">
        <v>56.258768405340597</v>
      </c>
      <c r="E207" s="15">
        <v>0.9</v>
      </c>
      <c r="F207" s="75">
        <v>0.9464657430642488</v>
      </c>
      <c r="G207" s="15">
        <v>57.053298164835702</v>
      </c>
      <c r="I207" s="15">
        <v>0.9</v>
      </c>
      <c r="J207" s="75">
        <v>0.88874287561843934</v>
      </c>
      <c r="K207" s="15">
        <v>54.9244938439724</v>
      </c>
      <c r="M207" s="15">
        <v>0.9</v>
      </c>
      <c r="N207" s="75">
        <v>0.71954269804912185</v>
      </c>
      <c r="O207" s="15">
        <v>90.698607038810593</v>
      </c>
    </row>
    <row r="208" spans="1:15" ht="12.75">
      <c r="A208" s="15">
        <v>0.95</v>
      </c>
      <c r="B208" s="75">
        <v>0.96517175810154143</v>
      </c>
      <c r="C208" s="15">
        <v>55.8275446341557</v>
      </c>
      <c r="E208" s="15">
        <v>0.95</v>
      </c>
      <c r="F208" s="75">
        <v>0.9749779132494848</v>
      </c>
      <c r="G208" s="15">
        <v>56.240399408051402</v>
      </c>
      <c r="I208" s="15">
        <v>0.95</v>
      </c>
      <c r="J208" s="75">
        <v>0.94094873155764192</v>
      </c>
      <c r="K208" s="15">
        <v>55.132366675724903</v>
      </c>
      <c r="M208" s="15">
        <v>0.95</v>
      </c>
      <c r="N208" s="75">
        <v>0.68829922967946333</v>
      </c>
      <c r="O208" s="15">
        <v>89.853450795557194</v>
      </c>
    </row>
    <row r="209" spans="1:15" ht="12.75">
      <c r="A209" s="15">
        <v>1</v>
      </c>
      <c r="B209" s="75">
        <v>0.99999979326328337</v>
      </c>
      <c r="C209" s="15">
        <v>55.451054933499897</v>
      </c>
      <c r="E209" s="15">
        <v>1</v>
      </c>
      <c r="F209" s="75">
        <v>0.99999979326328337</v>
      </c>
      <c r="G209" s="15">
        <v>55.451054933499897</v>
      </c>
      <c r="I209" s="15">
        <v>1</v>
      </c>
      <c r="J209" s="75">
        <v>0.99999979326328337</v>
      </c>
      <c r="K209" s="15">
        <v>55.451054933499897</v>
      </c>
      <c r="M209" s="15">
        <v>1</v>
      </c>
      <c r="N209" s="75">
        <v>0.99999947629658914</v>
      </c>
      <c r="O209" s="15">
        <v>99.377363492522406</v>
      </c>
    </row>
    <row r="210" spans="1:15" ht="12.75">
      <c r="B210" s="6"/>
      <c r="F210" s="6"/>
      <c r="J210" s="6"/>
      <c r="N210" s="6"/>
    </row>
    <row r="211" spans="1:15" ht="12.75">
      <c r="B211" s="6"/>
      <c r="F211" s="6"/>
      <c r="J211" s="6"/>
      <c r="N211" s="6"/>
    </row>
    <row r="212" spans="1:15">
      <c r="A212" s="7" t="s">
        <v>3</v>
      </c>
      <c r="B212" s="8" t="s">
        <v>41</v>
      </c>
      <c r="C212" s="9"/>
      <c r="D212" s="9"/>
      <c r="E212" s="7" t="s">
        <v>3</v>
      </c>
      <c r="F212" s="8" t="s">
        <v>44</v>
      </c>
      <c r="G212" s="9"/>
      <c r="I212" s="7" t="s">
        <v>3</v>
      </c>
      <c r="J212" s="8" t="s">
        <v>46</v>
      </c>
      <c r="K212" s="9"/>
      <c r="L212" s="9"/>
      <c r="M212" s="7" t="s">
        <v>3</v>
      </c>
      <c r="N212" s="8" t="s">
        <v>47</v>
      </c>
      <c r="O212" s="9"/>
    </row>
    <row r="213" spans="1:15" ht="15">
      <c r="A213" s="9"/>
      <c r="B213" s="8"/>
      <c r="C213" s="9"/>
      <c r="D213" s="9"/>
      <c r="E213" s="9"/>
      <c r="F213" s="8"/>
      <c r="G213" s="9"/>
      <c r="I213" s="9"/>
      <c r="J213" s="8"/>
      <c r="K213" s="9"/>
      <c r="L213" s="9"/>
      <c r="M213" s="9"/>
      <c r="N213" s="8"/>
      <c r="O213" s="9"/>
    </row>
    <row r="214" spans="1:15" ht="12.75">
      <c r="A214" s="11" t="s">
        <v>8</v>
      </c>
      <c r="B214" s="12" t="s">
        <v>9</v>
      </c>
      <c r="C214" s="11" t="s">
        <v>10</v>
      </c>
      <c r="E214" s="11" t="s">
        <v>8</v>
      </c>
      <c r="F214" s="12" t="s">
        <v>9</v>
      </c>
      <c r="G214" s="11" t="s">
        <v>10</v>
      </c>
      <c r="I214" s="11" t="s">
        <v>8</v>
      </c>
      <c r="J214" s="12" t="s">
        <v>9</v>
      </c>
      <c r="K214" s="11" t="s">
        <v>10</v>
      </c>
      <c r="M214" s="11" t="s">
        <v>8</v>
      </c>
      <c r="N214" s="12" t="s">
        <v>9</v>
      </c>
      <c r="O214" s="11" t="s">
        <v>10</v>
      </c>
    </row>
    <row r="215" spans="1:15" ht="12.75">
      <c r="A215" s="15">
        <v>0</v>
      </c>
      <c r="B215" s="75">
        <v>0</v>
      </c>
      <c r="C215" s="15">
        <v>117.484397411752</v>
      </c>
      <c r="E215" s="15">
        <v>0</v>
      </c>
      <c r="F215" s="75">
        <v>0</v>
      </c>
      <c r="G215" s="15">
        <v>99.977083795412398</v>
      </c>
      <c r="I215" s="15">
        <v>0</v>
      </c>
      <c r="J215" s="75">
        <v>0</v>
      </c>
      <c r="K215" s="91">
        <v>63.983475190269402</v>
      </c>
      <c r="M215" s="15">
        <v>0</v>
      </c>
      <c r="N215" s="16">
        <v>0</v>
      </c>
      <c r="O215" s="15">
        <v>99.377363492792497</v>
      </c>
    </row>
    <row r="216" spans="1:15" ht="12.75">
      <c r="A216" s="15">
        <v>0.05</v>
      </c>
      <c r="B216" s="75">
        <v>0.13516537064926823</v>
      </c>
      <c r="C216" s="15">
        <v>114.51101954669601</v>
      </c>
      <c r="E216" s="15">
        <v>0.05</v>
      </c>
      <c r="F216" s="75">
        <v>3.9816550114161076E-2</v>
      </c>
      <c r="G216" s="15">
        <v>100.365373116993</v>
      </c>
      <c r="I216" s="15">
        <v>0.05</v>
      </c>
      <c r="J216" s="75">
        <v>0.12688686170530614</v>
      </c>
      <c r="K216" s="91">
        <v>61.831207982936</v>
      </c>
      <c r="M216" s="15">
        <v>0.05</v>
      </c>
      <c r="N216" s="16">
        <v>0.32150509705950664</v>
      </c>
      <c r="O216" s="15">
        <v>90.092608208240406</v>
      </c>
    </row>
    <row r="217" spans="1:15" ht="12.75">
      <c r="A217" s="15">
        <v>0.1</v>
      </c>
      <c r="B217" s="75">
        <v>0.2428025710180883</v>
      </c>
      <c r="C217" s="15">
        <v>112.005687247639</v>
      </c>
      <c r="E217" s="15">
        <v>0.1</v>
      </c>
      <c r="F217" s="75">
        <v>8.2975120701244812E-2</v>
      </c>
      <c r="G217" s="15">
        <v>100.718703915248</v>
      </c>
      <c r="I217" s="15">
        <v>0.1</v>
      </c>
      <c r="J217" s="75">
        <v>0.22795114792187041</v>
      </c>
      <c r="K217" s="91">
        <v>60.023136232176299</v>
      </c>
      <c r="M217" s="15">
        <v>0.1</v>
      </c>
      <c r="N217" s="16">
        <v>0.43784444417146234</v>
      </c>
      <c r="O217" s="15">
        <v>86.120900280612602</v>
      </c>
    </row>
    <row r="218" spans="1:15" ht="12.75">
      <c r="A218" s="15">
        <v>0.15</v>
      </c>
      <c r="B218" s="75">
        <v>0.33062271844423702</v>
      </c>
      <c r="C218" s="15">
        <v>109.87210702724801</v>
      </c>
      <c r="E218" s="15">
        <v>0.15</v>
      </c>
      <c r="F218" s="75">
        <v>0.12926305437548175</v>
      </c>
      <c r="G218" s="15">
        <v>101.031526321128</v>
      </c>
      <c r="I218" s="15">
        <v>0.15</v>
      </c>
      <c r="J218" s="75">
        <v>0.30957249070275639</v>
      </c>
      <c r="K218" s="91">
        <v>58.510377975436398</v>
      </c>
      <c r="M218" s="15">
        <v>0.15</v>
      </c>
      <c r="N218" s="16">
        <v>0.49679166416984871</v>
      </c>
      <c r="O218" s="15">
        <v>84.0321908648056</v>
      </c>
    </row>
    <row r="219" spans="1:15" ht="12.75">
      <c r="A219" s="15">
        <v>0.2</v>
      </c>
      <c r="B219" s="75">
        <v>0.4037031487108762</v>
      </c>
      <c r="C219" s="15">
        <v>108.04138224648101</v>
      </c>
      <c r="E219" s="15">
        <v>0.2</v>
      </c>
      <c r="F219" s="75">
        <v>0.17839134384507002</v>
      </c>
      <c r="G219" s="15">
        <v>101.29909299489501</v>
      </c>
      <c r="I219" s="15">
        <v>0.2</v>
      </c>
      <c r="J219" s="75">
        <v>0.37628801098926917</v>
      </c>
      <c r="K219" s="91">
        <v>57.252635553265002</v>
      </c>
      <c r="M219" s="15">
        <v>0.2</v>
      </c>
      <c r="N219" s="16">
        <v>0.53307241091252622</v>
      </c>
      <c r="O219" s="15">
        <v>82.774703013604807</v>
      </c>
    </row>
    <row r="220" spans="1:15" ht="12.75">
      <c r="A220" s="15">
        <v>0.25</v>
      </c>
      <c r="B220" s="75">
        <v>0.46552954204232028</v>
      </c>
      <c r="C220" s="15">
        <v>106.46271978840799</v>
      </c>
      <c r="E220" s="15">
        <v>0.25</v>
      </c>
      <c r="F220" s="75">
        <v>0.23000190315898977</v>
      </c>
      <c r="G220" s="15">
        <v>101.517798778409</v>
      </c>
      <c r="I220" s="15">
        <v>0.25</v>
      </c>
      <c r="J220" s="75">
        <v>0.43138321240076838</v>
      </c>
      <c r="K220" s="91">
        <v>56.2163797952255</v>
      </c>
      <c r="M220" s="15">
        <v>0.25</v>
      </c>
      <c r="N220" s="16">
        <v>0.55901495667439127</v>
      </c>
      <c r="O220" s="15">
        <v>81.924915250286006</v>
      </c>
    </row>
    <row r="221" spans="1:15" ht="12.75">
      <c r="A221" s="15">
        <v>0.3</v>
      </c>
      <c r="B221" s="75">
        <v>0.51858527097301887</v>
      </c>
      <c r="C221" s="15">
        <v>105.097849493887</v>
      </c>
      <c r="E221" s="15">
        <v>0.3</v>
      </c>
      <c r="F221" s="75">
        <v>0.28367726027310175</v>
      </c>
      <c r="G221" s="15">
        <v>101.685087137165</v>
      </c>
      <c r="I221" s="15">
        <v>0.3</v>
      </c>
      <c r="J221" s="75">
        <v>0.47727970429357008</v>
      </c>
      <c r="K221" s="91">
        <v>55.373334213299998</v>
      </c>
      <c r="M221" s="15">
        <v>0.3</v>
      </c>
      <c r="N221" s="16">
        <v>0.58007418243775344</v>
      </c>
      <c r="O221" s="15">
        <v>81.288022510403906</v>
      </c>
    </row>
    <row r="222" spans="1:15" ht="12.75">
      <c r="A222" s="15">
        <v>0.35</v>
      </c>
      <c r="B222" s="75">
        <v>0.56469205217185503</v>
      </c>
      <c r="C222" s="15">
        <v>103.91691166306001</v>
      </c>
      <c r="E222" s="15">
        <v>0.35</v>
      </c>
      <c r="F222" s="75">
        <v>0.33895504077604383</v>
      </c>
      <c r="G222" s="15">
        <v>101.79959261188399</v>
      </c>
      <c r="I222" s="15">
        <v>0.35</v>
      </c>
      <c r="J222" s="75">
        <v>0.51579444621234538</v>
      </c>
      <c r="K222" s="91">
        <v>54.699237231177896</v>
      </c>
      <c r="M222" s="15">
        <v>0.35</v>
      </c>
      <c r="N222" s="16">
        <v>0.59902822732068017</v>
      </c>
      <c r="O222" s="15">
        <v>80.768219594612503</v>
      </c>
    </row>
    <row r="223" spans="1:15" ht="12.75">
      <c r="A223" s="15">
        <v>0.4</v>
      </c>
      <c r="B223" s="75">
        <v>0.60522859273208807</v>
      </c>
      <c r="C223" s="15">
        <v>102.896241213653</v>
      </c>
      <c r="E223" s="15">
        <v>0.4</v>
      </c>
      <c r="F223" s="75">
        <v>0.39534138613722986</v>
      </c>
      <c r="G223" s="15">
        <v>101.860907456551</v>
      </c>
      <c r="I223" s="15">
        <v>0.4</v>
      </c>
      <c r="J223" s="75">
        <v>0.54831744723248488</v>
      </c>
      <c r="K223" s="91">
        <v>54.172861288678497</v>
      </c>
      <c r="M223" s="15">
        <v>0.4</v>
      </c>
      <c r="N223" s="16">
        <v>0.61744490676665342</v>
      </c>
      <c r="O223" s="15">
        <v>80.317279523694296</v>
      </c>
    </row>
    <row r="224" spans="1:15" ht="12.75">
      <c r="A224" s="15">
        <v>0.45</v>
      </c>
      <c r="B224" s="75">
        <v>0.6412704658568088</v>
      </c>
      <c r="C224" s="15">
        <v>102.016662856832</v>
      </c>
      <c r="E224" s="15">
        <v>0.45</v>
      </c>
      <c r="F224" s="75">
        <v>0.45233122263661102</v>
      </c>
      <c r="G224" s="15">
        <v>101.869830061279</v>
      </c>
      <c r="I224" s="15">
        <v>0.45</v>
      </c>
      <c r="J224" s="75">
        <v>0.57593732090097605</v>
      </c>
      <c r="K224" s="91">
        <v>53.775239170603598</v>
      </c>
      <c r="M224" s="15">
        <v>0.45</v>
      </c>
      <c r="N224" s="16">
        <v>0.63628843520830103</v>
      </c>
      <c r="O224" s="15">
        <v>79.911392711599902</v>
      </c>
    </row>
    <row r="225" spans="1:15" ht="12.75">
      <c r="A225" s="15">
        <v>0.5</v>
      </c>
      <c r="B225" s="75">
        <v>0.67368685892859759</v>
      </c>
      <c r="C225" s="15">
        <v>101.262349374026</v>
      </c>
      <c r="E225" s="15">
        <v>0.5</v>
      </c>
      <c r="F225" s="75">
        <v>0.50942169376771063</v>
      </c>
      <c r="G225" s="15">
        <v>101.828004448404</v>
      </c>
      <c r="I225" s="15">
        <v>0.5</v>
      </c>
      <c r="J225" s="75">
        <v>0.59953520470530652</v>
      </c>
      <c r="K225" s="91">
        <v>53.489135536195903</v>
      </c>
      <c r="M225" s="15">
        <v>0.5</v>
      </c>
      <c r="N225" s="16">
        <v>0.65620327653774724</v>
      </c>
      <c r="O225" s="15">
        <v>79.539812785290493</v>
      </c>
    </row>
    <row r="226" spans="1:15" ht="12.75">
      <c r="A226" s="15">
        <v>0.55000000000000004</v>
      </c>
      <c r="B226" s="75">
        <v>0.703211534424243</v>
      </c>
      <c r="C226" s="15">
        <v>100.62001923987199</v>
      </c>
      <c r="E226" s="15">
        <v>0.55000000000000004</v>
      </c>
      <c r="F226" s="75">
        <v>0.56612579404355534</v>
      </c>
      <c r="G226" s="15">
        <v>101.737767432081</v>
      </c>
      <c r="I226" s="15">
        <v>0.55000000000000004</v>
      </c>
      <c r="J226" s="75">
        <v>0.61986109655876709</v>
      </c>
      <c r="K226" s="91">
        <v>53.2987848307178</v>
      </c>
      <c r="M226" s="15">
        <v>0.55000000000000004</v>
      </c>
      <c r="N226" s="16">
        <v>0.67765989252900527</v>
      </c>
      <c r="O226" s="15">
        <v>79.198946392652402</v>
      </c>
    </row>
    <row r="227" spans="1:15" ht="12.75">
      <c r="A227" s="15">
        <v>0.6</v>
      </c>
      <c r="B227" s="75">
        <v>0.7305013782250489</v>
      </c>
      <c r="C227" s="15">
        <v>100.078445279739</v>
      </c>
      <c r="E227" s="15">
        <v>0.6</v>
      </c>
      <c r="F227" s="75">
        <v>0.62199297071428916</v>
      </c>
      <c r="G227" s="15">
        <v>101.602409096092</v>
      </c>
      <c r="I227" s="15">
        <v>0.6</v>
      </c>
      <c r="J227" s="75">
        <v>0.63760625414055294</v>
      </c>
      <c r="K227" s="91">
        <v>53.190076050571001</v>
      </c>
      <c r="M227" s="15">
        <v>0.6</v>
      </c>
      <c r="N227" s="16">
        <v>0.70103613100511708</v>
      </c>
      <c r="O227" s="15">
        <v>78.8891688852557</v>
      </c>
    </row>
    <row r="228" spans="1:15" ht="12.75">
      <c r="A228" s="15">
        <v>0.65</v>
      </c>
      <c r="B228" s="75">
        <v>0.75619180134954567</v>
      </c>
      <c r="C228" s="15">
        <v>99.628237621981995</v>
      </c>
      <c r="E228" s="15">
        <v>0.65</v>
      </c>
      <c r="F228" s="75">
        <v>0.67660714007943923</v>
      </c>
      <c r="G228" s="15">
        <v>101.42540193844</v>
      </c>
      <c r="I228" s="15">
        <v>0.65</v>
      </c>
      <c r="J228" s="75">
        <v>0.65348693960199211</v>
      </c>
      <c r="K228" s="91">
        <v>53.151503732730497</v>
      </c>
      <c r="M228" s="15">
        <v>0.65</v>
      </c>
      <c r="N228" s="16">
        <v>0.72666587840612429</v>
      </c>
      <c r="O228" s="15">
        <v>78.613057120674199</v>
      </c>
    </row>
    <row r="229" spans="1:15" ht="12.75">
      <c r="A229" s="15">
        <v>0.7</v>
      </c>
      <c r="B229" s="75">
        <v>0.7809608245655395</v>
      </c>
      <c r="C229" s="15">
        <v>99.262026241153194</v>
      </c>
      <c r="E229" s="15">
        <v>0.7</v>
      </c>
      <c r="F229" s="75">
        <v>0.72960501969399094</v>
      </c>
      <c r="G229" s="15">
        <v>101.21081206806601</v>
      </c>
      <c r="I229" s="15">
        <v>0.7</v>
      </c>
      <c r="J229" s="75">
        <v>0.66836433070096513</v>
      </c>
      <c r="K229" s="91">
        <v>53.176603973867998</v>
      </c>
      <c r="M229" s="15">
        <v>0.7</v>
      </c>
      <c r="N229" s="16">
        <v>0.75487127650905028</v>
      </c>
      <c r="O229" s="15">
        <v>78.374425941848102</v>
      </c>
    </row>
    <row r="230" spans="1:15" ht="12.75">
      <c r="A230" s="15">
        <v>0.75</v>
      </c>
      <c r="B230" s="75">
        <v>0.80561755927107048</v>
      </c>
      <c r="C230" s="15">
        <v>98.975270391828403</v>
      </c>
      <c r="E230" s="15">
        <v>0.75</v>
      </c>
      <c r="F230" s="75">
        <v>0.78067539963691868</v>
      </c>
      <c r="G230" s="15">
        <v>100.962907531154</v>
      </c>
      <c r="I230" s="15">
        <v>0.75</v>
      </c>
      <c r="J230" s="75">
        <v>0.6834494267418717</v>
      </c>
      <c r="K230" s="91">
        <v>53.269437658951198</v>
      </c>
      <c r="M230" s="15">
        <v>0.75</v>
      </c>
      <c r="N230" s="16">
        <v>0.7859855637199058</v>
      </c>
      <c r="O230" s="15">
        <v>78.177793394518801</v>
      </c>
    </row>
    <row r="231" spans="1:15" ht="12.75">
      <c r="A231" s="15">
        <v>0.8</v>
      </c>
      <c r="B231" s="75">
        <v>0.83124637069152552</v>
      </c>
      <c r="C231" s="15">
        <v>98.768315532792997</v>
      </c>
      <c r="E231" s="15">
        <v>0.8</v>
      </c>
      <c r="F231" s="75">
        <v>0.82956188803805764</v>
      </c>
      <c r="G231" s="15">
        <v>100.68608738944</v>
      </c>
      <c r="I231" s="15">
        <v>0.8</v>
      </c>
      <c r="J231" s="75">
        <v>0.70070722003614516</v>
      </c>
      <c r="K231" s="91">
        <v>53.456815673170198</v>
      </c>
      <c r="M231" s="15">
        <v>0.8</v>
      </c>
      <c r="N231" s="16">
        <v>0.82037244923541441</v>
      </c>
      <c r="O231" s="15">
        <v>78.0281360191087</v>
      </c>
    </row>
    <row r="232" spans="1:15" ht="12.75">
      <c r="A232" s="15">
        <v>0.85</v>
      </c>
      <c r="B232" s="75">
        <v>0.85945707596359211</v>
      </c>
      <c r="C232" s="15">
        <v>98.6505699016611</v>
      </c>
      <c r="E232" s="15">
        <v>0.85</v>
      </c>
      <c r="F232" s="75">
        <v>0.876062868233909</v>
      </c>
      <c r="G232" s="15">
        <v>100.384793488136</v>
      </c>
      <c r="I232" s="15">
        <v>0.85</v>
      </c>
      <c r="J232" s="75">
        <v>0.72376257692018187</v>
      </c>
      <c r="K232" s="91">
        <v>53.816604638868696</v>
      </c>
      <c r="M232" s="15">
        <v>0.85</v>
      </c>
      <c r="N232" s="16">
        <v>0.85844330511375722</v>
      </c>
      <c r="O232" s="15">
        <v>77.930777084398699</v>
      </c>
    </row>
    <row r="233" spans="1:15" ht="12.75">
      <c r="A233" s="15">
        <v>0.9</v>
      </c>
      <c r="B233" s="75">
        <v>0.89291467074535358</v>
      </c>
      <c r="C233" s="15">
        <v>98.650705650666396</v>
      </c>
      <c r="E233" s="15">
        <v>0.9</v>
      </c>
      <c r="F233" s="75">
        <v>0.92002921245411706</v>
      </c>
      <c r="G233" s="15">
        <v>100.063422541872</v>
      </c>
      <c r="I233" s="15">
        <v>0.9</v>
      </c>
      <c r="J233" s="75">
        <v>0.76027026707673073</v>
      </c>
      <c r="K233" s="91">
        <v>54.549709945435502</v>
      </c>
      <c r="M233" s="15">
        <v>0.9</v>
      </c>
      <c r="N233" s="16">
        <v>0.90067582817260161</v>
      </c>
      <c r="O233" s="15">
        <v>77.891400799969006</v>
      </c>
    </row>
    <row r="234" spans="1:15" ht="12.75">
      <c r="A234" s="15">
        <v>0.95</v>
      </c>
      <c r="B234" s="75">
        <v>0.93646256532814287</v>
      </c>
      <c r="C234" s="15">
        <v>98.838155093052407</v>
      </c>
      <c r="E234" s="15">
        <v>0.95</v>
      </c>
      <c r="F234" s="75">
        <v>0.96135901323598616</v>
      </c>
      <c r="G234" s="15">
        <v>99.726209469104106</v>
      </c>
      <c r="I234" s="15">
        <v>0.95</v>
      </c>
      <c r="J234" s="75">
        <v>0.82964471064030232</v>
      </c>
      <c r="K234" s="91">
        <v>56.196114784625401</v>
      </c>
      <c r="M234" s="15">
        <v>0.95</v>
      </c>
      <c r="N234" s="16">
        <v>0.94763505072393073</v>
      </c>
      <c r="O234" s="15">
        <v>77.916128641412897</v>
      </c>
    </row>
    <row r="235" spans="1:15" ht="12.75">
      <c r="A235" s="15">
        <v>1</v>
      </c>
      <c r="B235" s="75">
        <v>0.99999947629658914</v>
      </c>
      <c r="C235" s="15">
        <v>99.377363492522406</v>
      </c>
      <c r="E235" s="15">
        <v>1</v>
      </c>
      <c r="F235" s="75">
        <v>0.99999947629658914</v>
      </c>
      <c r="G235" s="15">
        <v>99.377363492522406</v>
      </c>
      <c r="I235" s="15">
        <v>1</v>
      </c>
      <c r="J235" s="75">
        <v>0.99999978789549182</v>
      </c>
      <c r="K235" s="91">
        <v>60.523644740037</v>
      </c>
      <c r="M235" s="15">
        <v>1</v>
      </c>
      <c r="N235" s="16">
        <v>0.99999958336078076</v>
      </c>
      <c r="O235" s="15">
        <v>78.011668519365699</v>
      </c>
    </row>
    <row r="236" spans="1:15" ht="12.75">
      <c r="B236" s="6"/>
      <c r="F236" s="6"/>
      <c r="J236" s="6"/>
      <c r="N236" s="6"/>
    </row>
    <row r="237" spans="1:15" ht="12.75">
      <c r="B237" s="6"/>
      <c r="F237" s="6"/>
      <c r="J237" s="6"/>
      <c r="N237" s="6"/>
    </row>
    <row r="238" spans="1:15">
      <c r="A238" s="7" t="s">
        <v>3</v>
      </c>
      <c r="B238" s="8" t="s">
        <v>48</v>
      </c>
      <c r="C238" s="9"/>
      <c r="E238" s="7" t="s">
        <v>3</v>
      </c>
      <c r="F238" s="8" t="s">
        <v>51</v>
      </c>
      <c r="G238" s="9"/>
      <c r="I238" s="7" t="s">
        <v>3</v>
      </c>
      <c r="J238" s="8" t="s">
        <v>52</v>
      </c>
      <c r="K238" s="9"/>
      <c r="M238" s="7" t="s">
        <v>3</v>
      </c>
      <c r="N238" s="8" t="s">
        <v>54</v>
      </c>
      <c r="O238" s="9"/>
    </row>
    <row r="239" spans="1:15" ht="15">
      <c r="A239" s="9"/>
      <c r="B239" s="8"/>
      <c r="C239" s="9"/>
      <c r="E239" s="9"/>
      <c r="F239" s="8"/>
      <c r="G239" s="9"/>
      <c r="I239" s="9"/>
      <c r="J239" s="8"/>
      <c r="K239" s="9"/>
      <c r="M239" s="9"/>
      <c r="N239" s="8"/>
      <c r="O239" s="9"/>
    </row>
    <row r="240" spans="1:15" ht="12.75">
      <c r="A240" s="11" t="s">
        <v>8</v>
      </c>
      <c r="B240" s="12" t="s">
        <v>9</v>
      </c>
      <c r="C240" s="11" t="s">
        <v>10</v>
      </c>
      <c r="E240" s="11" t="s">
        <v>8</v>
      </c>
      <c r="F240" s="12" t="s">
        <v>9</v>
      </c>
      <c r="G240" s="11" t="s">
        <v>10</v>
      </c>
      <c r="I240" s="11" t="s">
        <v>8</v>
      </c>
      <c r="J240" s="12" t="s">
        <v>9</v>
      </c>
      <c r="K240" s="11" t="s">
        <v>10</v>
      </c>
      <c r="M240" s="11" t="s">
        <v>8</v>
      </c>
      <c r="N240" s="12" t="s">
        <v>9</v>
      </c>
      <c r="O240" s="11" t="s">
        <v>10</v>
      </c>
    </row>
    <row r="241" spans="1:15" ht="12.75">
      <c r="A241" s="15">
        <v>0</v>
      </c>
      <c r="B241" s="75">
        <v>0</v>
      </c>
      <c r="C241" s="15">
        <v>79.378355344968298</v>
      </c>
      <c r="E241" s="15">
        <v>0</v>
      </c>
      <c r="F241" s="75">
        <v>0</v>
      </c>
      <c r="G241" s="15">
        <v>76.389295293375696</v>
      </c>
      <c r="I241" s="15">
        <v>0</v>
      </c>
      <c r="J241" s="75">
        <v>0</v>
      </c>
      <c r="K241" s="15">
        <v>99.377363492792398</v>
      </c>
      <c r="M241" s="15">
        <v>0</v>
      </c>
      <c r="N241" s="75">
        <v>0</v>
      </c>
      <c r="O241" s="15">
        <v>79.378355344968298</v>
      </c>
    </row>
    <row r="242" spans="1:15" ht="12.75">
      <c r="A242" s="15">
        <v>0.05</v>
      </c>
      <c r="B242" s="75">
        <v>0.2114784540850243</v>
      </c>
      <c r="C242" s="15">
        <v>73.295428492701703</v>
      </c>
      <c r="E242" s="15">
        <v>0.05</v>
      </c>
      <c r="F242" s="75">
        <v>0.17058289826989284</v>
      </c>
      <c r="G242" s="15">
        <v>72.274857814579605</v>
      </c>
      <c r="I242" s="15">
        <v>0.05</v>
      </c>
      <c r="J242" s="75">
        <v>0.27701706376841778</v>
      </c>
      <c r="K242" s="15">
        <v>91.881710234182606</v>
      </c>
      <c r="M242" s="15">
        <v>0.05</v>
      </c>
      <c r="N242" s="75">
        <v>0.37171895214540157</v>
      </c>
      <c r="O242" s="15">
        <v>66.389439719186797</v>
      </c>
    </row>
    <row r="243" spans="1:15" ht="12.75">
      <c r="A243" s="15">
        <v>0.1</v>
      </c>
      <c r="B243" s="75">
        <v>0.30678676070958227</v>
      </c>
      <c r="C243" s="15">
        <v>70.490509916605703</v>
      </c>
      <c r="E243" s="15">
        <v>0.1</v>
      </c>
      <c r="F243" s="75">
        <v>0.28087790039315358</v>
      </c>
      <c r="G243" s="15">
        <v>69.486660856681098</v>
      </c>
      <c r="I243" s="15">
        <v>0.1</v>
      </c>
      <c r="J243" s="75">
        <v>0.42638862081294754</v>
      </c>
      <c r="K243" s="15">
        <v>87.032876790193498</v>
      </c>
      <c r="M243" s="15">
        <v>0.1</v>
      </c>
      <c r="N243" s="75">
        <v>0.48707418786005208</v>
      </c>
      <c r="O243" s="15">
        <v>61.519330823042502</v>
      </c>
    </row>
    <row r="244" spans="1:15" ht="12.75">
      <c r="A244" s="15">
        <v>0.15</v>
      </c>
      <c r="B244" s="75">
        <v>0.35925816259964904</v>
      </c>
      <c r="C244" s="15">
        <v>69.035005014168604</v>
      </c>
      <c r="E244" s="15">
        <v>0.15</v>
      </c>
      <c r="F244" s="75">
        <v>0.35862890914858203</v>
      </c>
      <c r="G244" s="15">
        <v>67.501121304006304</v>
      </c>
      <c r="I244" s="15">
        <v>0.15</v>
      </c>
      <c r="J244" s="75">
        <v>0.52052053910416018</v>
      </c>
      <c r="K244" s="15">
        <v>83.601660617118299</v>
      </c>
      <c r="M244" s="15">
        <v>0.15</v>
      </c>
      <c r="N244" s="75">
        <v>0.5392738453640169</v>
      </c>
      <c r="O244" s="15">
        <v>59.240973739727302</v>
      </c>
    </row>
    <row r="245" spans="1:15" ht="12.75">
      <c r="A245" s="15">
        <v>0.2</v>
      </c>
      <c r="B245" s="75">
        <v>0.39117816138185957</v>
      </c>
      <c r="C245" s="15">
        <v>68.246308827213895</v>
      </c>
      <c r="E245" s="15">
        <v>0.2</v>
      </c>
      <c r="F245" s="75">
        <v>0.41683507617296373</v>
      </c>
      <c r="G245" s="15">
        <v>66.041736162613503</v>
      </c>
      <c r="I245" s="15">
        <v>0.2</v>
      </c>
      <c r="J245" s="75">
        <v>0.5863614316782042</v>
      </c>
      <c r="K245" s="15">
        <v>81.012159289160607</v>
      </c>
      <c r="M245" s="15">
        <v>0.2</v>
      </c>
      <c r="N245" s="75">
        <v>0.56595070021360894</v>
      </c>
      <c r="O245" s="15">
        <v>58.119427454946901</v>
      </c>
    </row>
    <row r="246" spans="1:15" ht="12.75">
      <c r="A246" s="15">
        <v>0.25</v>
      </c>
      <c r="B246" s="75">
        <v>0.41191926114784977</v>
      </c>
      <c r="C246" s="15">
        <v>67.813551977357605</v>
      </c>
      <c r="E246" s="15">
        <v>0.25</v>
      </c>
      <c r="F246" s="75">
        <v>0.4624831429053346</v>
      </c>
      <c r="G246" s="15">
        <v>64.945326164493594</v>
      </c>
      <c r="I246" s="15">
        <v>0.25</v>
      </c>
      <c r="J246" s="75">
        <v>0.63607035617199925</v>
      </c>
      <c r="K246" s="15">
        <v>78.9573881194992</v>
      </c>
      <c r="M246" s="15">
        <v>0.25</v>
      </c>
      <c r="N246" s="75">
        <v>0.57994501778309804</v>
      </c>
      <c r="O246" s="15">
        <v>57.578487045539298</v>
      </c>
    </row>
    <row r="247" spans="1:15" ht="12.75">
      <c r="A247" s="15">
        <v>0.3</v>
      </c>
      <c r="B247" s="75">
        <v>0.4262402515235823</v>
      </c>
      <c r="C247" s="15">
        <v>67.576619751051098</v>
      </c>
      <c r="E247" s="15">
        <v>0.3</v>
      </c>
      <c r="F247" s="75">
        <v>0.4997173907556054</v>
      </c>
      <c r="G247" s="15">
        <v>64.1082471258335</v>
      </c>
      <c r="I247" s="15">
        <v>0.3</v>
      </c>
      <c r="J247" s="75">
        <v>0.67588835613566922</v>
      </c>
      <c r="K247" s="15">
        <v>77.258867311700499</v>
      </c>
      <c r="M247" s="15">
        <v>0.3</v>
      </c>
      <c r="N247" s="75">
        <v>0.58699162168642338</v>
      </c>
      <c r="O247" s="15">
        <v>57.337196387050497</v>
      </c>
    </row>
    <row r="248" spans="1:15" ht="12.75">
      <c r="A248" s="15">
        <v>0.35</v>
      </c>
      <c r="B248" s="75">
        <v>0.43690921645509834</v>
      </c>
      <c r="C248" s="15">
        <v>67.448945444627398</v>
      </c>
      <c r="E248" s="15">
        <v>0.35</v>
      </c>
      <c r="F248" s="75">
        <v>0.53119700670649639</v>
      </c>
      <c r="G248" s="15">
        <v>63.461327924177397</v>
      </c>
      <c r="I248" s="15">
        <v>0.35</v>
      </c>
      <c r="J248" s="75">
        <v>0.70932873991029155</v>
      </c>
      <c r="K248" s="15">
        <v>75.806248314335903</v>
      </c>
      <c r="M248" s="15">
        <v>0.35</v>
      </c>
      <c r="N248" s="75">
        <v>0.59015761307821679</v>
      </c>
      <c r="O248" s="15">
        <v>57.244688609831996</v>
      </c>
    </row>
    <row r="249" spans="1:15" ht="12.75">
      <c r="A249" s="15">
        <v>0.4</v>
      </c>
      <c r="B249" s="75">
        <v>0.44572988297056648</v>
      </c>
      <c r="C249" s="15">
        <v>67.384581389648503</v>
      </c>
      <c r="E249" s="15">
        <v>0.4</v>
      </c>
      <c r="F249" s="75">
        <v>0.55875113481907246</v>
      </c>
      <c r="G249" s="15">
        <v>62.956978956052097</v>
      </c>
      <c r="I249" s="15">
        <v>0.4</v>
      </c>
      <c r="J249" s="75">
        <v>0.73851110830056743</v>
      </c>
      <c r="K249" s="15">
        <v>74.528154586213503</v>
      </c>
      <c r="M249" s="15">
        <v>0.4</v>
      </c>
      <c r="N249" s="75">
        <v>0.59132471222220495</v>
      </c>
      <c r="O249" s="15">
        <v>57.216648217668698</v>
      </c>
    </row>
    <row r="250" spans="1:15" ht="12.75">
      <c r="A250" s="15">
        <v>0.45</v>
      </c>
      <c r="B250" s="75">
        <v>0.45401305102548639</v>
      </c>
      <c r="C250" s="15">
        <v>67.362433366728695</v>
      </c>
      <c r="E250" s="15">
        <v>0.45</v>
      </c>
      <c r="F250" s="75">
        <v>0.58372625797276889</v>
      </c>
      <c r="G250" s="15">
        <v>62.562067266623799</v>
      </c>
      <c r="I250" s="15">
        <v>0.45</v>
      </c>
      <c r="J250" s="75">
        <v>0.76478493890163812</v>
      </c>
      <c r="K250" s="15">
        <v>73.376823705326899</v>
      </c>
      <c r="M250" s="15">
        <v>0.45</v>
      </c>
      <c r="N250" s="75">
        <v>0.59181616051279706</v>
      </c>
      <c r="O250" s="15">
        <v>57.207788547550898</v>
      </c>
    </row>
    <row r="251" spans="1:15" ht="12.75">
      <c r="A251" s="15">
        <v>0.5</v>
      </c>
      <c r="B251" s="75">
        <v>0.46282813993326605</v>
      </c>
      <c r="C251" s="15">
        <v>67.378237341599402</v>
      </c>
      <c r="E251" s="15">
        <v>0.5</v>
      </c>
      <c r="F251" s="75">
        <v>0.6071870017002472</v>
      </c>
      <c r="G251" s="15">
        <v>62.253803207662997</v>
      </c>
      <c r="I251" s="15">
        <v>0.5</v>
      </c>
      <c r="J251" s="75">
        <v>0.78904663778714279</v>
      </c>
      <c r="K251" s="15">
        <v>72.319437686222301</v>
      </c>
      <c r="M251" s="15">
        <v>0.5</v>
      </c>
      <c r="N251" s="75">
        <v>0.59267618476633721</v>
      </c>
      <c r="O251" s="15">
        <v>57.197373109998303</v>
      </c>
    </row>
    <row r="252" spans="1:15" ht="12.75">
      <c r="A252" s="15">
        <v>0.55000000000000004</v>
      </c>
      <c r="B252" s="75">
        <v>0.47315831931066904</v>
      </c>
      <c r="C252" s="15">
        <v>67.440265908636604</v>
      </c>
      <c r="E252" s="15">
        <v>0.55000000000000004</v>
      </c>
      <c r="F252" s="75">
        <v>0.63004344874462326</v>
      </c>
      <c r="G252" s="15">
        <v>62.017332008516</v>
      </c>
      <c r="I252" s="15">
        <v>0.55000000000000004</v>
      </c>
      <c r="J252" s="75">
        <v>0.81191304992504598</v>
      </c>
      <c r="K252" s="15">
        <v>71.332997129856196</v>
      </c>
      <c r="M252" s="15">
        <v>0.55000000000000004</v>
      </c>
      <c r="N252" s="75">
        <v>0.59484309447586092</v>
      </c>
      <c r="O252" s="15">
        <v>57.182231662539401</v>
      </c>
    </row>
    <row r="253" spans="1:15" ht="12.75">
      <c r="A253" s="15">
        <v>0.6</v>
      </c>
      <c r="B253" s="75">
        <v>0.48601904587050665</v>
      </c>
      <c r="C253" s="15">
        <v>67.5672092150552</v>
      </c>
      <c r="E253" s="15">
        <v>0.6</v>
      </c>
      <c r="F253" s="75">
        <v>0.65314154513663203</v>
      </c>
      <c r="G253" s="15">
        <v>61.844368531726701</v>
      </c>
      <c r="I253" s="15">
        <v>0.6</v>
      </c>
      <c r="J253" s="75">
        <v>0.83382051807743041</v>
      </c>
      <c r="K253" s="15">
        <v>70.401109219078705</v>
      </c>
      <c r="M253" s="15">
        <v>0.6</v>
      </c>
      <c r="N253" s="75">
        <v>0.59926832681337239</v>
      </c>
      <c r="O253" s="15">
        <v>57.173090222097002</v>
      </c>
    </row>
    <row r="254" spans="1:15" ht="12.75">
      <c r="A254" s="15">
        <v>0.65</v>
      </c>
      <c r="B254" s="75">
        <v>0.5025844872538745</v>
      </c>
      <c r="C254" s="15">
        <v>67.788002088126305</v>
      </c>
      <c r="E254" s="15">
        <v>0.65</v>
      </c>
      <c r="F254" s="75">
        <v>0.67733807356441389</v>
      </c>
      <c r="G254" s="15">
        <v>61.732561455191401</v>
      </c>
      <c r="I254" s="15">
        <v>0.65</v>
      </c>
      <c r="J254" s="75">
        <v>0.85508558398512813</v>
      </c>
      <c r="K254" s="15">
        <v>69.511956612548602</v>
      </c>
      <c r="M254" s="15">
        <v>0.65</v>
      </c>
      <c r="N254" s="75">
        <v>0.60701965140547354</v>
      </c>
      <c r="O254" s="15">
        <v>57.192789589669999</v>
      </c>
    </row>
    <row r="255" spans="1:15" ht="12.75">
      <c r="A255" s="15">
        <v>0.7</v>
      </c>
      <c r="B255" s="75">
        <v>0.52433595231928698</v>
      </c>
      <c r="C255" s="15">
        <v>68.1425775856423</v>
      </c>
      <c r="E255" s="15">
        <v>0.7</v>
      </c>
      <c r="F255" s="75">
        <v>0.70357432330004899</v>
      </c>
      <c r="G255" s="15">
        <v>61.685412647108201</v>
      </c>
      <c r="I255" s="15">
        <v>0.7</v>
      </c>
      <c r="J255" s="75">
        <v>0.8759423610929612</v>
      </c>
      <c r="K255" s="15">
        <v>68.656929666501</v>
      </c>
      <c r="M255" s="15">
        <v>0.7</v>
      </c>
      <c r="N255" s="75">
        <v>0.61942071276595811</v>
      </c>
      <c r="O255" s="15">
        <v>57.276764432884598</v>
      </c>
    </row>
    <row r="256" spans="1:15" ht="12.75">
      <c r="A256" s="15">
        <v>0.75</v>
      </c>
      <c r="B256" s="75">
        <v>0.55329281701117616</v>
      </c>
      <c r="C256" s="15">
        <v>68.684632337297501</v>
      </c>
      <c r="E256" s="15">
        <v>0.75</v>
      </c>
      <c r="F256" s="75">
        <v>0.73296326842339887</v>
      </c>
      <c r="G256" s="15">
        <v>61.7127621552658</v>
      </c>
      <c r="I256" s="15">
        <v>0.75</v>
      </c>
      <c r="J256" s="75">
        <v>0.89656698276803404</v>
      </c>
      <c r="K256" s="15">
        <v>67.829707380500693</v>
      </c>
      <c r="M256" s="15">
        <v>0.75</v>
      </c>
      <c r="N256" s="75">
        <v>0.63824056668374085</v>
      </c>
      <c r="O256" s="15">
        <v>57.474848214468899</v>
      </c>
    </row>
    <row r="257" spans="1:15" ht="12.75">
      <c r="A257" s="15">
        <v>0.8</v>
      </c>
      <c r="B257" s="75">
        <v>0.59237302364116318</v>
      </c>
      <c r="C257" s="15">
        <v>69.485876429457804</v>
      </c>
      <c r="E257" s="15">
        <v>0.8</v>
      </c>
      <c r="F257" s="75">
        <v>0.76690650007982142</v>
      </c>
      <c r="G257" s="15">
        <v>61.831875992157997</v>
      </c>
      <c r="I257" s="15">
        <v>0.8</v>
      </c>
      <c r="J257" s="75">
        <v>0.91709395414711892</v>
      </c>
      <c r="K257" s="15">
        <v>67.025622774079196</v>
      </c>
      <c r="M257" s="15">
        <v>0.8</v>
      </c>
      <c r="N257" s="75">
        <v>0.66602200552963819</v>
      </c>
      <c r="O257" s="15">
        <v>57.8559552748575</v>
      </c>
    </row>
    <row r="258" spans="1:15" ht="12.75">
      <c r="A258" s="15">
        <v>0.85</v>
      </c>
      <c r="B258" s="75">
        <v>0.64606132484096657</v>
      </c>
      <c r="C258" s="15">
        <v>70.644603072570803</v>
      </c>
      <c r="E258" s="15">
        <v>0.85</v>
      </c>
      <c r="F258" s="75">
        <v>0.80726952916514483</v>
      </c>
      <c r="G258" s="15">
        <v>62.069401517165197</v>
      </c>
      <c r="I258" s="15">
        <v>0.85</v>
      </c>
      <c r="J258" s="75">
        <v>0.93762746839402689</v>
      </c>
      <c r="K258" s="15">
        <v>66.241219660173201</v>
      </c>
      <c r="M258" s="15">
        <v>0.85</v>
      </c>
      <c r="N258" s="75">
        <v>0.70666058886611627</v>
      </c>
      <c r="O258" s="15">
        <v>58.516310755693503</v>
      </c>
    </row>
    <row r="259" spans="1:15" ht="12.75">
      <c r="A259" s="15">
        <v>0.9</v>
      </c>
      <c r="B259" s="75">
        <v>0.72164121328904163</v>
      </c>
      <c r="C259" s="15">
        <v>72.298905919766298</v>
      </c>
      <c r="E259" s="15">
        <v>0.9</v>
      </c>
      <c r="F259" s="75">
        <v>0.85666300585383137</v>
      </c>
      <c r="G259" s="15">
        <v>62.464583549597798</v>
      </c>
      <c r="I259" s="15">
        <v>0.9</v>
      </c>
      <c r="J259" s="75">
        <v>0.95824887402075032</v>
      </c>
      <c r="K259" s="15">
        <v>65.473923545901599</v>
      </c>
      <c r="M259" s="15">
        <v>0.9</v>
      </c>
      <c r="N259" s="75">
        <v>0.76654701745273979</v>
      </c>
      <c r="O259" s="15">
        <v>59.594996496327497</v>
      </c>
    </row>
    <row r="260" spans="1:15" ht="12.75">
      <c r="A260" s="15">
        <v>0.95</v>
      </c>
      <c r="B260" s="75">
        <v>0.83174455781125944</v>
      </c>
      <c r="C260" s="15">
        <v>74.651099876514806</v>
      </c>
      <c r="E260" s="15">
        <v>0.95</v>
      </c>
      <c r="F260" s="75">
        <v>0.91892491264325904</v>
      </c>
      <c r="G260" s="15">
        <v>63.074585998377202</v>
      </c>
      <c r="I260" s="15">
        <v>0.95</v>
      </c>
      <c r="J260" s="75">
        <v>0.97902257769632006</v>
      </c>
      <c r="K260" s="15">
        <v>64.721820103074094</v>
      </c>
      <c r="M260" s="15">
        <v>0.95</v>
      </c>
      <c r="N260" s="75">
        <v>0.85699143888396989</v>
      </c>
      <c r="O260" s="15">
        <v>61.3031091757491</v>
      </c>
    </row>
    <row r="261" spans="1:15" ht="12.75">
      <c r="A261" s="15">
        <v>1</v>
      </c>
      <c r="B261" s="75">
        <v>0.99999958336078076</v>
      </c>
      <c r="C261" s="15">
        <v>78.011668519365699</v>
      </c>
      <c r="E261" s="15">
        <v>1</v>
      </c>
      <c r="F261" s="75">
        <v>0.99999965756634579</v>
      </c>
      <c r="G261" s="15">
        <v>63.983475189368001</v>
      </c>
      <c r="I261" s="15">
        <v>1</v>
      </c>
      <c r="J261" s="75">
        <v>0.99999965756634579</v>
      </c>
      <c r="K261" s="15">
        <v>63.983475189368001</v>
      </c>
      <c r="M261" s="15">
        <v>1</v>
      </c>
      <c r="N261" s="75">
        <v>0.99999965756634579</v>
      </c>
      <c r="O261" s="15">
        <v>63.983475189368001</v>
      </c>
    </row>
    <row r="262" spans="1:15" ht="12.75">
      <c r="B262" s="6"/>
      <c r="F262" s="6"/>
      <c r="J262" s="6"/>
      <c r="N262" s="6"/>
    </row>
    <row r="263" spans="1:15" ht="12.75">
      <c r="B263" s="6"/>
      <c r="F263" s="6"/>
      <c r="J263" s="6"/>
      <c r="N263" s="6"/>
    </row>
    <row r="264" spans="1:15">
      <c r="A264" s="7" t="s">
        <v>3</v>
      </c>
      <c r="B264" s="8" t="s">
        <v>55</v>
      </c>
      <c r="C264" s="9"/>
      <c r="E264" s="7" t="s">
        <v>3</v>
      </c>
      <c r="F264" s="8" t="s">
        <v>57</v>
      </c>
      <c r="G264" s="9"/>
      <c r="I264" s="7" t="s">
        <v>3</v>
      </c>
      <c r="J264" s="8" t="s">
        <v>59</v>
      </c>
      <c r="K264" s="9"/>
      <c r="M264" s="7"/>
      <c r="N264" s="8"/>
      <c r="O264" s="9"/>
    </row>
    <row r="265" spans="1:15" ht="15">
      <c r="A265" s="9"/>
      <c r="B265" s="8"/>
      <c r="C265" s="9"/>
      <c r="E265" s="9"/>
      <c r="F265" s="8"/>
      <c r="G265" s="9"/>
      <c r="I265" s="9"/>
      <c r="J265" s="8"/>
      <c r="K265" s="9"/>
      <c r="M265" s="9"/>
      <c r="N265" s="8"/>
      <c r="O265" s="9"/>
    </row>
    <row r="266" spans="1:15" ht="12.75">
      <c r="A266" s="11" t="s">
        <v>8</v>
      </c>
      <c r="B266" s="12" t="s">
        <v>9</v>
      </c>
      <c r="C266" s="11" t="s">
        <v>10</v>
      </c>
      <c r="E266" s="11" t="s">
        <v>8</v>
      </c>
      <c r="F266" s="12" t="s">
        <v>9</v>
      </c>
      <c r="G266" s="11" t="s">
        <v>10</v>
      </c>
      <c r="I266" s="11" t="s">
        <v>8</v>
      </c>
      <c r="J266" s="12" t="s">
        <v>9</v>
      </c>
      <c r="K266" s="11" t="s">
        <v>10</v>
      </c>
      <c r="M266" s="105"/>
      <c r="N266" s="106"/>
      <c r="O266" s="105"/>
    </row>
    <row r="267" spans="1:15" ht="12.75">
      <c r="A267" s="15">
        <v>0</v>
      </c>
      <c r="B267" s="75">
        <v>0</v>
      </c>
      <c r="C267" s="15">
        <v>78.011668521681003</v>
      </c>
      <c r="E267" s="15">
        <v>0</v>
      </c>
      <c r="F267" s="75">
        <v>0</v>
      </c>
      <c r="G267" s="15">
        <v>79.378357941166996</v>
      </c>
      <c r="I267" s="15">
        <v>0</v>
      </c>
      <c r="J267" s="75">
        <v>0</v>
      </c>
      <c r="K267" s="15">
        <v>99.377363492792497</v>
      </c>
      <c r="M267" s="107"/>
      <c r="N267" s="19"/>
      <c r="O267" s="107"/>
    </row>
    <row r="268" spans="1:15" ht="12.75">
      <c r="A268" s="15">
        <v>0.05</v>
      </c>
      <c r="B268" s="75">
        <v>0.31614033750434367</v>
      </c>
      <c r="C268" s="15">
        <v>69.946844203191503</v>
      </c>
      <c r="E268" s="15">
        <v>0.05</v>
      </c>
      <c r="F268" s="75">
        <v>5.948937382988289E-2</v>
      </c>
      <c r="G268" s="15">
        <v>79.046044129296504</v>
      </c>
      <c r="I268" s="15">
        <v>0.05</v>
      </c>
      <c r="J268" s="75">
        <v>0.72306372302878896</v>
      </c>
      <c r="K268" s="15">
        <v>68.060123469863996</v>
      </c>
      <c r="M268" s="107"/>
      <c r="N268" s="19"/>
      <c r="O268" s="107"/>
    </row>
    <row r="269" spans="1:15" ht="12.75">
      <c r="A269" s="15">
        <v>0.1</v>
      </c>
      <c r="B269" s="75">
        <v>0.47357329148286637</v>
      </c>
      <c r="C269" s="15">
        <v>64.906051507651</v>
      </c>
      <c r="E269" s="15">
        <v>0.1</v>
      </c>
      <c r="F269" s="75">
        <v>0.11680893427963004</v>
      </c>
      <c r="G269" s="15">
        <v>78.738134026053402</v>
      </c>
      <c r="I269" s="15">
        <v>0.1</v>
      </c>
      <c r="J269" s="75">
        <v>0.79726059732666876</v>
      </c>
      <c r="K269" s="15">
        <v>61.612556622776502</v>
      </c>
      <c r="M269" s="107"/>
      <c r="N269" s="19"/>
      <c r="O269" s="107"/>
    </row>
    <row r="270" spans="1:15" ht="12.75">
      <c r="A270" s="15">
        <v>0.15</v>
      </c>
      <c r="B270" s="75">
        <v>0.56195315575698912</v>
      </c>
      <c r="C270" s="15">
        <v>61.6596886241188</v>
      </c>
      <c r="E270" s="15">
        <v>0.15</v>
      </c>
      <c r="F270" s="75">
        <v>0.17222745335522449</v>
      </c>
      <c r="G270" s="15">
        <v>78.452908324383003</v>
      </c>
      <c r="I270" s="15">
        <v>0.15</v>
      </c>
      <c r="J270" s="75">
        <v>0.81247124408924698</v>
      </c>
      <c r="K270" s="15">
        <v>60.118485557661302</v>
      </c>
      <c r="M270" s="107"/>
      <c r="N270" s="19"/>
      <c r="O270" s="107"/>
    </row>
    <row r="271" spans="1:15" ht="12.75">
      <c r="A271" s="15">
        <v>0.2</v>
      </c>
      <c r="B271" s="75">
        <v>0.61512632057241301</v>
      </c>
      <c r="C271" s="15">
        <v>59.558260970754098</v>
      </c>
      <c r="E271" s="15">
        <v>0.2</v>
      </c>
      <c r="F271" s="75">
        <v>0.22598686527458753</v>
      </c>
      <c r="G271" s="15">
        <v>78.188846488332203</v>
      </c>
      <c r="I271" s="15">
        <v>0.2</v>
      </c>
      <c r="J271" s="75">
        <v>0.81106931300268192</v>
      </c>
      <c r="K271" s="15">
        <v>60.246224629409902</v>
      </c>
      <c r="M271" s="107"/>
      <c r="N271" s="19"/>
      <c r="O271" s="107"/>
    </row>
    <row r="272" spans="1:15" ht="12.75">
      <c r="A272" s="15">
        <v>0.25</v>
      </c>
      <c r="B272" s="75">
        <v>0.64808998298687703</v>
      </c>
      <c r="C272" s="15">
        <v>58.224917471647601</v>
      </c>
      <c r="E272" s="15">
        <v>0.25</v>
      </c>
      <c r="F272" s="75">
        <v>0.27830637120209695</v>
      </c>
      <c r="G272" s="15">
        <v>77.944611196592305</v>
      </c>
      <c r="I272" s="15">
        <v>0.25</v>
      </c>
      <c r="J272" s="75">
        <v>0.80312385723654356</v>
      </c>
      <c r="K272" s="15">
        <v>60.9304066486457</v>
      </c>
      <c r="M272" s="107"/>
      <c r="N272" s="19"/>
      <c r="O272" s="107"/>
    </row>
    <row r="273" spans="1:15" ht="12.75">
      <c r="A273" s="15">
        <v>0.3</v>
      </c>
      <c r="B273" s="75">
        <v>0.66832120156629626</v>
      </c>
      <c r="C273" s="15">
        <v>57.422045367280703</v>
      </c>
      <c r="E273" s="15">
        <v>0.3</v>
      </c>
      <c r="F273" s="75">
        <v>0.329385958892491</v>
      </c>
      <c r="G273" s="15">
        <v>77.719034274253303</v>
      </c>
      <c r="I273" s="15">
        <v>0.3</v>
      </c>
      <c r="J273" s="75">
        <v>0.79254088552312385</v>
      </c>
      <c r="K273" s="15">
        <v>61.737963282835203</v>
      </c>
      <c r="M273" s="107"/>
      <c r="N273" s="19"/>
      <c r="O273" s="107"/>
    </row>
    <row r="274" spans="1:15" ht="12.75">
      <c r="A274" s="15">
        <v>0.35</v>
      </c>
      <c r="B274" s="75">
        <v>0.67989804055308856</v>
      </c>
      <c r="C274" s="15">
        <v>56.988413181793199</v>
      </c>
      <c r="E274" s="15">
        <v>0.35</v>
      </c>
      <c r="F274" s="75">
        <v>0.37940927218155707</v>
      </c>
      <c r="G274" s="15">
        <v>77.511089732839196</v>
      </c>
      <c r="I274" s="15">
        <v>0.35</v>
      </c>
      <c r="J274" s="75">
        <v>0.78136584984208302</v>
      </c>
      <c r="K274" s="15">
        <v>62.478208473753099</v>
      </c>
      <c r="M274" s="107"/>
      <c r="N274" s="19"/>
      <c r="O274" s="107"/>
    </row>
    <row r="275" spans="1:15" ht="12.75">
      <c r="A275" s="15">
        <v>0.4</v>
      </c>
      <c r="B275" s="75">
        <v>0.68521451885765883</v>
      </c>
      <c r="C275" s="15">
        <v>56.807244239686902</v>
      </c>
      <c r="E275" s="15">
        <v>0.4</v>
      </c>
      <c r="F275" s="75">
        <v>0.42854623068423819</v>
      </c>
      <c r="G275" s="15">
        <v>77.319889605389093</v>
      </c>
      <c r="I275" s="15">
        <v>0.4</v>
      </c>
      <c r="J275" s="75">
        <v>0.77089590712504363</v>
      </c>
      <c r="K275" s="15">
        <v>63.071265694153396</v>
      </c>
      <c r="M275" s="107"/>
      <c r="N275" s="19"/>
      <c r="O275" s="107"/>
    </row>
    <row r="276" spans="1:15" ht="12.75">
      <c r="A276" s="15">
        <v>0.45</v>
      </c>
      <c r="B276" s="75">
        <v>0.685778414958366</v>
      </c>
      <c r="C276" s="15">
        <v>56.789064914073698</v>
      </c>
      <c r="E276" s="15">
        <v>0.45</v>
      </c>
      <c r="F276" s="75">
        <v>0.47695517136942212</v>
      </c>
      <c r="G276" s="15">
        <v>77.144666232476695</v>
      </c>
      <c r="I276" s="15">
        <v>0.45</v>
      </c>
      <c r="J276" s="75">
        <v>0.76205824092788854</v>
      </c>
      <c r="K276" s="15">
        <v>63.493277404628103</v>
      </c>
      <c r="M276" s="107"/>
      <c r="N276" s="19"/>
      <c r="O276" s="107"/>
    </row>
    <row r="277" spans="1:15" ht="12.75">
      <c r="A277" s="15">
        <v>0.5</v>
      </c>
      <c r="B277" s="75">
        <v>0.68262322067964243</v>
      </c>
      <c r="C277" s="15">
        <v>56.862281230324498</v>
      </c>
      <c r="E277" s="15">
        <v>0.5</v>
      </c>
      <c r="F277" s="75">
        <v>0.52478480462538446</v>
      </c>
      <c r="G277" s="15">
        <v>76.984765277163206</v>
      </c>
      <c r="I277" s="15">
        <v>0.5</v>
      </c>
      <c r="J277" s="75">
        <v>0.75557361034485337</v>
      </c>
      <c r="K277" s="15">
        <v>63.750210532723102</v>
      </c>
      <c r="M277" s="107"/>
      <c r="N277" s="19"/>
      <c r="O277" s="107"/>
    </row>
    <row r="278" spans="1:15" ht="12.75">
      <c r="A278" s="15">
        <v>0.55000000000000004</v>
      </c>
      <c r="B278" s="75">
        <v>0.67654811097017198</v>
      </c>
      <c r="C278" s="15">
        <v>56.9682975638652</v>
      </c>
      <c r="E278" s="15">
        <v>0.55000000000000004</v>
      </c>
      <c r="F278" s="75">
        <v>0.57217584185503956</v>
      </c>
      <c r="G278" s="15">
        <v>76.839632741224094</v>
      </c>
      <c r="I278" s="15">
        <v>0.55000000000000004</v>
      </c>
      <c r="J278" s="75">
        <v>0.75204877957412597</v>
      </c>
      <c r="K278" s="15">
        <v>63.864244663883198</v>
      </c>
      <c r="M278" s="107"/>
      <c r="N278" s="19"/>
      <c r="O278" s="107"/>
    </row>
    <row r="279" spans="1:15" ht="12.75">
      <c r="A279" s="15">
        <v>0.6</v>
      </c>
      <c r="B279" s="75">
        <v>0.66828357722234899</v>
      </c>
      <c r="C279" s="15">
        <v>57.059822183833496</v>
      </c>
      <c r="E279" s="15">
        <v>0.6</v>
      </c>
      <c r="F279" s="75">
        <v>0.61926262890169126</v>
      </c>
      <c r="G279" s="15">
        <v>76.708815193174303</v>
      </c>
      <c r="I279" s="15">
        <v>0.6</v>
      </c>
      <c r="J279" s="75">
        <v>0.75204455515371016</v>
      </c>
      <c r="K279" s="15">
        <v>63.866454034783096</v>
      </c>
      <c r="M279" s="107"/>
      <c r="N279" s="19"/>
      <c r="O279" s="107"/>
    </row>
    <row r="280" spans="1:15" ht="12.75">
      <c r="A280" s="15">
        <v>0.65</v>
      </c>
      <c r="B280" s="75">
        <v>0.65863725567229847</v>
      </c>
      <c r="C280" s="15">
        <v>57.102082633257297</v>
      </c>
      <c r="E280" s="15">
        <v>0.65</v>
      </c>
      <c r="F280" s="75">
        <v>0.66617440272684125</v>
      </c>
      <c r="G280" s="15">
        <v>76.591946630053599</v>
      </c>
      <c r="I280" s="15">
        <v>0.65</v>
      </c>
      <c r="J280" s="75">
        <v>0.75613799518921121</v>
      </c>
      <c r="K280" s="15">
        <v>63.792997238481199</v>
      </c>
      <c r="M280" s="107"/>
      <c r="N280" s="19"/>
      <c r="O280" s="107"/>
    </row>
    <row r="281" spans="1:15" ht="12.75">
      <c r="A281" s="15">
        <v>0.7</v>
      </c>
      <c r="B281" s="75">
        <v>0.64866558704963861</v>
      </c>
      <c r="C281" s="15">
        <v>57.077651197278001</v>
      </c>
      <c r="E281" s="15">
        <v>0.7</v>
      </c>
      <c r="F281" s="75">
        <v>0.71303666076494787</v>
      </c>
      <c r="G281" s="15">
        <v>76.488749547571899</v>
      </c>
      <c r="I281" s="15">
        <v>0.7</v>
      </c>
      <c r="J281" s="75">
        <v>0.76499018893473658</v>
      </c>
      <c r="K281" s="15">
        <v>63.683504276570297</v>
      </c>
      <c r="M281" s="107"/>
      <c r="N281" s="19"/>
      <c r="O281" s="107"/>
    </row>
    <row r="282" spans="1:15" ht="12.75">
      <c r="A282" s="15">
        <v>0.75</v>
      </c>
      <c r="B282" s="75">
        <v>0.63993839293571364</v>
      </c>
      <c r="C282" s="15">
        <v>56.997113653799602</v>
      </c>
      <c r="E282" s="15">
        <v>0.75</v>
      </c>
      <c r="F282" s="75">
        <v>0.7599721071053489</v>
      </c>
      <c r="G282" s="15">
        <v>76.399020289571197</v>
      </c>
      <c r="I282" s="15">
        <v>0.75</v>
      </c>
      <c r="J282" s="75">
        <v>0.77943040262399677</v>
      </c>
      <c r="K282" s="15">
        <v>63.581022423865001</v>
      </c>
      <c r="M282" s="107"/>
      <c r="N282" s="19"/>
      <c r="O282" s="107"/>
    </row>
    <row r="283" spans="1:15" ht="12.75">
      <c r="A283" s="15">
        <v>0.8</v>
      </c>
      <c r="B283" s="75">
        <v>0.63504687896696899</v>
      </c>
      <c r="C283" s="15">
        <v>56.921354346122399</v>
      </c>
      <c r="E283" s="15">
        <v>0.8</v>
      </c>
      <c r="F283" s="75">
        <v>0.80710220605683258</v>
      </c>
      <c r="G283" s="15">
        <v>76.322645992374007</v>
      </c>
      <c r="I283" s="15">
        <v>0.8</v>
      </c>
      <c r="J283" s="75">
        <v>0.80057473589965844</v>
      </c>
      <c r="K283" s="15">
        <v>63.5333836978674</v>
      </c>
      <c r="M283" s="107"/>
      <c r="N283" s="19"/>
      <c r="O283" s="107"/>
    </row>
    <row r="284" spans="1:15" ht="12.75">
      <c r="A284" s="15">
        <v>0.85</v>
      </c>
      <c r="B284" s="75">
        <v>0.6387878110439994</v>
      </c>
      <c r="C284" s="15">
        <v>57.011494608839001</v>
      </c>
      <c r="E284" s="15">
        <v>0.85</v>
      </c>
      <c r="F284" s="75">
        <v>0.8545476469247717</v>
      </c>
      <c r="G284" s="15">
        <v>76.259575794268997</v>
      </c>
      <c r="I284" s="15">
        <v>0.85</v>
      </c>
      <c r="J284" s="75">
        <v>0.83001115555081173</v>
      </c>
      <c r="K284" s="15">
        <v>63.596253870557</v>
      </c>
      <c r="M284" s="107"/>
      <c r="N284" s="19"/>
      <c r="O284" s="107"/>
    </row>
    <row r="285" spans="1:15" ht="12.75">
      <c r="A285" s="15">
        <v>0.9</v>
      </c>
      <c r="B285" s="75">
        <v>0.66158455169700958</v>
      </c>
      <c r="C285" s="15">
        <v>57.659561977486199</v>
      </c>
      <c r="E285" s="15">
        <v>0.9</v>
      </c>
      <c r="F285" s="75">
        <v>0.90242984858873576</v>
      </c>
      <c r="G285" s="15">
        <v>76.209839381551603</v>
      </c>
      <c r="I285" s="15">
        <v>0.9</v>
      </c>
      <c r="J285" s="75">
        <v>0.87011629489640896</v>
      </c>
      <c r="K285" s="15">
        <v>63.838792511819598</v>
      </c>
      <c r="M285" s="107"/>
      <c r="N285" s="19"/>
      <c r="O285" s="107"/>
    </row>
    <row r="286" spans="1:15" ht="12.75">
      <c r="A286" s="15">
        <v>0.95</v>
      </c>
      <c r="B286" s="75">
        <v>0.73293510606869572</v>
      </c>
      <c r="C286" s="15">
        <v>59.935084231412297</v>
      </c>
      <c r="E286" s="15">
        <v>0.95</v>
      </c>
      <c r="F286" s="75">
        <v>0.95087201541181054</v>
      </c>
      <c r="G286" s="15">
        <v>76.173544922775804</v>
      </c>
      <c r="I286" s="15">
        <v>0.95</v>
      </c>
      <c r="J286" s="75">
        <v>0.92465084682497234</v>
      </c>
      <c r="K286" s="15">
        <v>64.354232503077696</v>
      </c>
      <c r="M286" s="107"/>
      <c r="N286" s="19"/>
      <c r="O286" s="107"/>
    </row>
    <row r="287" spans="1:15" ht="12.75">
      <c r="A287" s="15">
        <v>1</v>
      </c>
      <c r="B287" s="75">
        <v>0.99999976602399188</v>
      </c>
      <c r="C287" s="15">
        <v>68.227069253026201</v>
      </c>
      <c r="E287" s="15">
        <v>1</v>
      </c>
      <c r="F287" s="75">
        <v>0.99999974282150372</v>
      </c>
      <c r="G287" s="15">
        <v>76.150862862785701</v>
      </c>
      <c r="I287" s="15">
        <v>1</v>
      </c>
      <c r="J287" s="75">
        <v>0.99999976610842201</v>
      </c>
      <c r="K287" s="15">
        <v>65.965715787329501</v>
      </c>
      <c r="M287" s="107"/>
      <c r="N287" s="19"/>
      <c r="O287" s="107"/>
    </row>
    <row r="288" spans="1:15" ht="12.75">
      <c r="B288" s="6"/>
      <c r="F288" s="6"/>
      <c r="J288" s="6"/>
      <c r="N288" s="6"/>
    </row>
    <row r="289" spans="2:14" ht="12.75">
      <c r="B289" s="6"/>
      <c r="F289" s="6"/>
      <c r="J289" s="6"/>
      <c r="N289" s="6"/>
    </row>
    <row r="290" spans="2:14" ht="12.75">
      <c r="B290" s="6"/>
      <c r="F290" s="6"/>
      <c r="J290" s="6"/>
      <c r="N290" s="6"/>
    </row>
    <row r="291" spans="2:14" ht="12.75">
      <c r="B291" s="6"/>
      <c r="F291" s="6"/>
      <c r="J291" s="6"/>
      <c r="N291" s="6"/>
    </row>
    <row r="292" spans="2:14" ht="12.75">
      <c r="B292" s="6"/>
      <c r="F292" s="6"/>
      <c r="J292" s="6"/>
      <c r="N292" s="6"/>
    </row>
    <row r="293" spans="2:14" ht="12.75">
      <c r="B293" s="6"/>
      <c r="F293" s="6"/>
      <c r="J293" s="6"/>
      <c r="N293" s="6"/>
    </row>
    <row r="294" spans="2:14" ht="12.75">
      <c r="B294" s="6"/>
      <c r="F294" s="6"/>
      <c r="J294" s="6"/>
      <c r="N294" s="6"/>
    </row>
    <row r="295" spans="2:14" ht="12.75">
      <c r="B295" s="6"/>
      <c r="F295" s="6"/>
      <c r="J295" s="6"/>
      <c r="N295" s="6"/>
    </row>
    <row r="296" spans="2:14" ht="12.75">
      <c r="B296" s="6"/>
      <c r="F296" s="6"/>
      <c r="J296" s="6"/>
      <c r="N296" s="6"/>
    </row>
    <row r="297" spans="2:14" ht="12.75">
      <c r="B297" s="6"/>
      <c r="F297" s="6"/>
      <c r="J297" s="6"/>
      <c r="N297" s="6"/>
    </row>
    <row r="298" spans="2:14" ht="12.75">
      <c r="B298" s="6"/>
      <c r="F298" s="6"/>
      <c r="J298" s="6"/>
      <c r="N298" s="6"/>
    </row>
    <row r="299" spans="2:14" ht="12.75">
      <c r="B299" s="6"/>
      <c r="F299" s="6"/>
      <c r="J299" s="6"/>
      <c r="N299" s="6"/>
    </row>
    <row r="300" spans="2:14" ht="12.75">
      <c r="B300" s="6"/>
      <c r="F300" s="6"/>
      <c r="J300" s="6"/>
      <c r="N300" s="6"/>
    </row>
    <row r="301" spans="2:14" ht="12.75">
      <c r="B301" s="6"/>
      <c r="F301" s="6"/>
      <c r="J301" s="6"/>
      <c r="N301" s="6"/>
    </row>
    <row r="302" spans="2:14" ht="12.75">
      <c r="B302" s="6"/>
      <c r="F302" s="6"/>
      <c r="J302" s="6"/>
      <c r="N302" s="6"/>
    </row>
    <row r="303" spans="2:14" ht="12.75">
      <c r="B303" s="6"/>
      <c r="F303" s="6"/>
      <c r="J303" s="6"/>
      <c r="N303" s="6"/>
    </row>
    <row r="304" spans="2:14" ht="12.75">
      <c r="B304" s="6"/>
      <c r="F304" s="6"/>
      <c r="J304" s="6"/>
      <c r="N304" s="6"/>
    </row>
    <row r="305" spans="2:14" ht="12.75">
      <c r="B305" s="6"/>
      <c r="F305" s="6"/>
      <c r="J305" s="6"/>
      <c r="N305" s="6"/>
    </row>
    <row r="306" spans="2:14" ht="12.75">
      <c r="B306" s="6"/>
      <c r="F306" s="6"/>
      <c r="J306" s="6"/>
      <c r="N306" s="6"/>
    </row>
    <row r="307" spans="2:14" ht="12.75">
      <c r="B307" s="6"/>
      <c r="F307" s="6"/>
      <c r="J307" s="6"/>
      <c r="N307" s="6"/>
    </row>
    <row r="308" spans="2:14" ht="12.75">
      <c r="B308" s="6"/>
      <c r="F308" s="6"/>
      <c r="J308" s="6"/>
      <c r="N308" s="6"/>
    </row>
    <row r="309" spans="2:14" ht="12.75">
      <c r="B309" s="6"/>
      <c r="F309" s="6"/>
      <c r="J309" s="6"/>
      <c r="N309" s="6"/>
    </row>
    <row r="310" spans="2:14" ht="12.75">
      <c r="B310" s="6"/>
      <c r="F310" s="6"/>
      <c r="J310" s="6"/>
      <c r="N310" s="6"/>
    </row>
    <row r="311" spans="2:14" ht="12.75">
      <c r="B311" s="6"/>
      <c r="F311" s="6"/>
      <c r="J311" s="6"/>
      <c r="N311" s="6"/>
    </row>
    <row r="312" spans="2:14" ht="12.75">
      <c r="B312" s="6"/>
      <c r="F312" s="6"/>
      <c r="J312" s="6"/>
      <c r="N312" s="6"/>
    </row>
    <row r="313" spans="2:14" ht="12.75">
      <c r="B313" s="6"/>
      <c r="F313" s="6"/>
      <c r="J313" s="6"/>
      <c r="N313" s="6"/>
    </row>
    <row r="314" spans="2:14" ht="12.75">
      <c r="B314" s="6"/>
      <c r="F314" s="6"/>
      <c r="J314" s="6"/>
      <c r="N314" s="6"/>
    </row>
    <row r="315" spans="2:14" ht="12.75">
      <c r="B315" s="6"/>
      <c r="F315" s="6"/>
      <c r="J315" s="6"/>
      <c r="N315" s="6"/>
    </row>
    <row r="316" spans="2:14" ht="12.75">
      <c r="B316" s="6"/>
      <c r="F316" s="6"/>
      <c r="J316" s="6"/>
      <c r="N316" s="6"/>
    </row>
    <row r="317" spans="2:14" ht="12.75">
      <c r="B317" s="6"/>
      <c r="F317" s="6"/>
      <c r="J317" s="6"/>
      <c r="N317" s="6"/>
    </row>
    <row r="318" spans="2:14" ht="12.75">
      <c r="B318" s="6"/>
      <c r="F318" s="6"/>
      <c r="J318" s="6"/>
      <c r="N318" s="6"/>
    </row>
    <row r="319" spans="2:14" ht="12.75">
      <c r="B319" s="6"/>
      <c r="F319" s="6"/>
      <c r="J319" s="6"/>
      <c r="N319" s="6"/>
    </row>
    <row r="320" spans="2:14" ht="12.75">
      <c r="B320" s="6"/>
      <c r="F320" s="6"/>
      <c r="J320" s="6"/>
      <c r="N320" s="6"/>
    </row>
    <row r="321" spans="2:14" ht="12.75">
      <c r="B321" s="6"/>
      <c r="F321" s="6"/>
      <c r="J321" s="6"/>
      <c r="N321" s="6"/>
    </row>
    <row r="322" spans="2:14" ht="12.75">
      <c r="B322" s="6"/>
      <c r="F322" s="6"/>
      <c r="J322" s="6"/>
      <c r="N322" s="6"/>
    </row>
    <row r="323" spans="2:14" ht="12.75">
      <c r="B323" s="6"/>
      <c r="F323" s="6"/>
      <c r="J323" s="6"/>
      <c r="N323" s="6"/>
    </row>
    <row r="324" spans="2:14" ht="12.75">
      <c r="B324" s="6"/>
      <c r="F324" s="6"/>
      <c r="J324" s="6"/>
      <c r="N324" s="6"/>
    </row>
    <row r="325" spans="2:14" ht="12.75">
      <c r="B325" s="6"/>
      <c r="F325" s="6"/>
      <c r="J325" s="6"/>
      <c r="N325" s="6"/>
    </row>
    <row r="326" spans="2:14" ht="12.75">
      <c r="B326" s="6"/>
      <c r="F326" s="6"/>
      <c r="J326" s="6"/>
      <c r="N326" s="6"/>
    </row>
    <row r="327" spans="2:14" ht="12.75">
      <c r="B327" s="6"/>
      <c r="F327" s="6"/>
      <c r="J327" s="6"/>
      <c r="N327" s="6"/>
    </row>
    <row r="328" spans="2:14" ht="12.75">
      <c r="B328" s="6"/>
      <c r="F328" s="6"/>
      <c r="J328" s="6"/>
      <c r="N328" s="6"/>
    </row>
    <row r="329" spans="2:14" ht="12.75">
      <c r="B329" s="6"/>
      <c r="F329" s="6"/>
      <c r="J329" s="6"/>
      <c r="N329" s="6"/>
    </row>
    <row r="330" spans="2:14" ht="12.75">
      <c r="B330" s="6"/>
      <c r="F330" s="6"/>
      <c r="J330" s="6"/>
      <c r="N330" s="6"/>
    </row>
    <row r="331" spans="2:14" ht="12.75">
      <c r="B331" s="6"/>
      <c r="F331" s="6"/>
      <c r="J331" s="6"/>
      <c r="N331" s="6"/>
    </row>
    <row r="332" spans="2:14" ht="12.75">
      <c r="B332" s="6"/>
      <c r="F332" s="6"/>
      <c r="J332" s="6"/>
      <c r="N332" s="6"/>
    </row>
    <row r="333" spans="2:14" ht="12.75">
      <c r="B333" s="6"/>
      <c r="F333" s="6"/>
      <c r="J333" s="6"/>
      <c r="N333" s="6"/>
    </row>
    <row r="334" spans="2:14" ht="12.75">
      <c r="B334" s="6"/>
      <c r="F334" s="6"/>
      <c r="J334" s="6"/>
      <c r="N334" s="6"/>
    </row>
    <row r="335" spans="2:14" ht="12.75">
      <c r="B335" s="6"/>
      <c r="F335" s="6"/>
      <c r="J335" s="6"/>
      <c r="N335" s="6"/>
    </row>
    <row r="336" spans="2:14" ht="12.75">
      <c r="B336" s="6"/>
      <c r="F336" s="6"/>
      <c r="J336" s="6"/>
      <c r="N336" s="6"/>
    </row>
    <row r="337" spans="2:14" ht="12.75">
      <c r="B337" s="6"/>
      <c r="F337" s="6"/>
      <c r="J337" s="6"/>
      <c r="N337" s="6"/>
    </row>
    <row r="338" spans="2:14" ht="12.75">
      <c r="B338" s="6"/>
      <c r="F338" s="6"/>
      <c r="J338" s="6"/>
      <c r="N338" s="6"/>
    </row>
    <row r="339" spans="2:14" ht="12.75">
      <c r="B339" s="6"/>
      <c r="F339" s="6"/>
      <c r="J339" s="6"/>
      <c r="N339" s="6"/>
    </row>
    <row r="340" spans="2:14" ht="12.75">
      <c r="B340" s="6"/>
      <c r="F340" s="6"/>
      <c r="J340" s="6"/>
      <c r="N340" s="6"/>
    </row>
    <row r="341" spans="2:14" ht="12.75">
      <c r="B341" s="6"/>
      <c r="F341" s="6"/>
      <c r="J341" s="6"/>
      <c r="N341" s="6"/>
    </row>
    <row r="342" spans="2:14" ht="12.75">
      <c r="B342" s="6"/>
      <c r="F342" s="6"/>
      <c r="J342" s="6"/>
      <c r="N342" s="6"/>
    </row>
    <row r="343" spans="2:14" ht="12.75">
      <c r="B343" s="6"/>
      <c r="F343" s="6"/>
      <c r="J343" s="6"/>
      <c r="N343" s="6"/>
    </row>
    <row r="344" spans="2:14" ht="12.75">
      <c r="B344" s="6"/>
      <c r="F344" s="6"/>
      <c r="J344" s="6"/>
      <c r="N344" s="6"/>
    </row>
    <row r="345" spans="2:14" ht="12.75">
      <c r="B345" s="6"/>
      <c r="F345" s="6"/>
      <c r="J345" s="6"/>
      <c r="N345" s="6"/>
    </row>
    <row r="346" spans="2:14" ht="12.75">
      <c r="B346" s="6"/>
      <c r="F346" s="6"/>
      <c r="J346" s="6"/>
      <c r="N346" s="6"/>
    </row>
    <row r="347" spans="2:14" ht="12.75">
      <c r="B347" s="6"/>
      <c r="F347" s="6"/>
      <c r="J347" s="6"/>
      <c r="N347" s="6"/>
    </row>
    <row r="348" spans="2:14" ht="12.75">
      <c r="B348" s="6"/>
      <c r="F348" s="6"/>
      <c r="J348" s="6"/>
      <c r="N348" s="6"/>
    </row>
    <row r="349" spans="2:14" ht="12.75">
      <c r="B349" s="6"/>
      <c r="F349" s="6"/>
      <c r="J349" s="6"/>
      <c r="N349" s="6"/>
    </row>
    <row r="350" spans="2:14" ht="12.75">
      <c r="B350" s="6"/>
      <c r="F350" s="6"/>
      <c r="J350" s="6"/>
      <c r="N350" s="6"/>
    </row>
    <row r="351" spans="2:14" ht="12.75">
      <c r="B351" s="6"/>
      <c r="F351" s="6"/>
      <c r="J351" s="6"/>
      <c r="N351" s="6"/>
    </row>
    <row r="352" spans="2:14" ht="12.75">
      <c r="B352" s="6"/>
      <c r="F352" s="6"/>
      <c r="J352" s="6"/>
      <c r="N352" s="6"/>
    </row>
    <row r="353" spans="2:14" ht="12.75">
      <c r="B353" s="6"/>
      <c r="F353" s="6"/>
      <c r="J353" s="6"/>
      <c r="N353" s="6"/>
    </row>
    <row r="354" spans="2:14" ht="12.75">
      <c r="B354" s="6"/>
      <c r="F354" s="6"/>
      <c r="J354" s="6"/>
      <c r="N354" s="6"/>
    </row>
    <row r="355" spans="2:14" ht="12.75">
      <c r="B355" s="6"/>
      <c r="F355" s="6"/>
      <c r="J355" s="6"/>
      <c r="N355" s="6"/>
    </row>
    <row r="356" spans="2:14" ht="12.75">
      <c r="B356" s="6"/>
      <c r="F356" s="6"/>
      <c r="J356" s="6"/>
      <c r="N356" s="6"/>
    </row>
    <row r="357" spans="2:14" ht="12.75">
      <c r="B357" s="6"/>
      <c r="F357" s="6"/>
      <c r="J357" s="6"/>
      <c r="N357" s="6"/>
    </row>
    <row r="358" spans="2:14" ht="12.75">
      <c r="B358" s="6"/>
      <c r="F358" s="6"/>
      <c r="J358" s="6"/>
      <c r="N358" s="6"/>
    </row>
    <row r="359" spans="2:14" ht="12.75">
      <c r="B359" s="6"/>
      <c r="F359" s="6"/>
      <c r="J359" s="6"/>
      <c r="N359" s="6"/>
    </row>
    <row r="360" spans="2:14" ht="12.75">
      <c r="B360" s="6"/>
      <c r="F360" s="6"/>
      <c r="J360" s="6"/>
      <c r="N360" s="6"/>
    </row>
    <row r="361" spans="2:14" ht="12.75">
      <c r="B361" s="6"/>
      <c r="F361" s="6"/>
      <c r="J361" s="6"/>
      <c r="N361" s="6"/>
    </row>
    <row r="362" spans="2:14" ht="12.75">
      <c r="B362" s="6"/>
      <c r="F362" s="6"/>
      <c r="J362" s="6"/>
      <c r="N362" s="6"/>
    </row>
    <row r="363" spans="2:14" ht="12.75">
      <c r="B363" s="6"/>
      <c r="F363" s="6"/>
      <c r="J363" s="6"/>
      <c r="N363" s="6"/>
    </row>
    <row r="364" spans="2:14" ht="12.75">
      <c r="B364" s="6"/>
      <c r="F364" s="6"/>
      <c r="J364" s="6"/>
      <c r="N364" s="6"/>
    </row>
    <row r="365" spans="2:14" ht="12.75">
      <c r="B365" s="6"/>
      <c r="F365" s="6"/>
      <c r="J365" s="6"/>
      <c r="N365" s="6"/>
    </row>
    <row r="366" spans="2:14" ht="12.75">
      <c r="B366" s="6"/>
      <c r="F366" s="6"/>
      <c r="J366" s="6"/>
      <c r="N366" s="6"/>
    </row>
    <row r="367" spans="2:14" ht="12.75">
      <c r="B367" s="6"/>
      <c r="F367" s="6"/>
      <c r="J367" s="6"/>
      <c r="N367" s="6"/>
    </row>
    <row r="368" spans="2:14" ht="12.75">
      <c r="B368" s="6"/>
      <c r="F368" s="6"/>
      <c r="J368" s="6"/>
      <c r="N368" s="6"/>
    </row>
    <row r="369" spans="2:14" ht="12.75">
      <c r="B369" s="6"/>
      <c r="F369" s="6"/>
      <c r="J369" s="6"/>
      <c r="N369" s="6"/>
    </row>
    <row r="370" spans="2:14" ht="12.75">
      <c r="B370" s="6"/>
      <c r="F370" s="6"/>
      <c r="J370" s="6"/>
      <c r="N370" s="6"/>
    </row>
    <row r="371" spans="2:14" ht="12.75">
      <c r="B371" s="6"/>
      <c r="F371" s="6"/>
      <c r="J371" s="6"/>
      <c r="N371" s="6"/>
    </row>
    <row r="372" spans="2:14" ht="12.75">
      <c r="B372" s="6"/>
      <c r="F372" s="6"/>
      <c r="J372" s="6"/>
      <c r="N372" s="6"/>
    </row>
    <row r="373" spans="2:14" ht="12.75">
      <c r="B373" s="6"/>
      <c r="F373" s="6"/>
      <c r="J373" s="6"/>
      <c r="N373" s="6"/>
    </row>
    <row r="374" spans="2:14" ht="12.75">
      <c r="B374" s="6"/>
      <c r="F374" s="6"/>
      <c r="J374" s="6"/>
      <c r="N374" s="6"/>
    </row>
    <row r="375" spans="2:14" ht="12.75">
      <c r="B375" s="6"/>
      <c r="F375" s="6"/>
      <c r="J375" s="6"/>
      <c r="N375" s="6"/>
    </row>
    <row r="376" spans="2:14" ht="12.75">
      <c r="B376" s="6"/>
      <c r="F376" s="6"/>
      <c r="J376" s="6"/>
      <c r="N376" s="6"/>
    </row>
    <row r="377" spans="2:14" ht="12.75">
      <c r="B377" s="6"/>
      <c r="F377" s="6"/>
      <c r="J377" s="6"/>
      <c r="N377" s="6"/>
    </row>
    <row r="378" spans="2:14" ht="12.75">
      <c r="B378" s="6"/>
      <c r="F378" s="6"/>
      <c r="J378" s="6"/>
      <c r="N378" s="6"/>
    </row>
    <row r="379" spans="2:14" ht="12.75">
      <c r="B379" s="6"/>
      <c r="F379" s="6"/>
      <c r="J379" s="6"/>
      <c r="N379" s="6"/>
    </row>
    <row r="380" spans="2:14" ht="12.75">
      <c r="B380" s="6"/>
      <c r="F380" s="6"/>
      <c r="J380" s="6"/>
      <c r="N380" s="6"/>
    </row>
    <row r="381" spans="2:14" ht="12.75">
      <c r="B381" s="6"/>
      <c r="F381" s="6"/>
      <c r="J381" s="6"/>
      <c r="N381" s="6"/>
    </row>
    <row r="382" spans="2:14" ht="12.75">
      <c r="B382" s="6"/>
      <c r="F382" s="6"/>
      <c r="J382" s="6"/>
      <c r="N382" s="6"/>
    </row>
    <row r="383" spans="2:14" ht="12.75">
      <c r="B383" s="6"/>
      <c r="F383" s="6"/>
      <c r="J383" s="6"/>
      <c r="N383" s="6"/>
    </row>
    <row r="384" spans="2:14" ht="12.75">
      <c r="B384" s="6"/>
      <c r="F384" s="6"/>
      <c r="J384" s="6"/>
      <c r="N384" s="6"/>
    </row>
    <row r="385" spans="2:14" ht="12.75">
      <c r="B385" s="6"/>
      <c r="F385" s="6"/>
      <c r="J385" s="6"/>
      <c r="N385" s="6"/>
    </row>
    <row r="386" spans="2:14" ht="12.75">
      <c r="B386" s="6"/>
      <c r="F386" s="6"/>
      <c r="J386" s="6"/>
      <c r="N386" s="6"/>
    </row>
    <row r="387" spans="2:14" ht="12.75">
      <c r="B387" s="6"/>
      <c r="F387" s="6"/>
      <c r="J387" s="6"/>
      <c r="N387" s="6"/>
    </row>
    <row r="388" spans="2:14" ht="12.75">
      <c r="B388" s="6"/>
      <c r="F388" s="6"/>
      <c r="J388" s="6"/>
      <c r="N388" s="6"/>
    </row>
    <row r="389" spans="2:14" ht="12.75">
      <c r="B389" s="6"/>
      <c r="F389" s="6"/>
      <c r="J389" s="6"/>
      <c r="N389" s="6"/>
    </row>
    <row r="390" spans="2:14" ht="12.75">
      <c r="B390" s="6"/>
      <c r="F390" s="6"/>
      <c r="J390" s="6"/>
      <c r="N390" s="6"/>
    </row>
    <row r="391" spans="2:14" ht="12.75">
      <c r="B391" s="6"/>
      <c r="F391" s="6"/>
      <c r="J391" s="6"/>
      <c r="N391" s="6"/>
    </row>
    <row r="392" spans="2:14" ht="12.75">
      <c r="B392" s="6"/>
      <c r="F392" s="6"/>
      <c r="J392" s="6"/>
      <c r="N392" s="6"/>
    </row>
    <row r="393" spans="2:14" ht="12.75">
      <c r="B393" s="6"/>
      <c r="F393" s="6"/>
      <c r="J393" s="6"/>
      <c r="N393" s="6"/>
    </row>
    <row r="394" spans="2:14" ht="12.75">
      <c r="B394" s="6"/>
      <c r="F394" s="6"/>
      <c r="J394" s="6"/>
      <c r="N394" s="6"/>
    </row>
    <row r="395" spans="2:14" ht="12.75">
      <c r="B395" s="6"/>
      <c r="F395" s="6"/>
      <c r="J395" s="6"/>
      <c r="N395" s="6"/>
    </row>
    <row r="396" spans="2:14" ht="12.75">
      <c r="B396" s="6"/>
      <c r="F396" s="6"/>
      <c r="J396" s="6"/>
      <c r="N396" s="6"/>
    </row>
    <row r="397" spans="2:14" ht="12.75">
      <c r="B397" s="6"/>
      <c r="F397" s="6"/>
      <c r="J397" s="6"/>
      <c r="N397" s="6"/>
    </row>
    <row r="398" spans="2:14" ht="12.75">
      <c r="B398" s="6"/>
      <c r="F398" s="6"/>
      <c r="J398" s="6"/>
      <c r="N398" s="6"/>
    </row>
    <row r="399" spans="2:14" ht="12.75">
      <c r="B399" s="6"/>
      <c r="F399" s="6"/>
      <c r="J399" s="6"/>
      <c r="N399" s="6"/>
    </row>
    <row r="400" spans="2:14" ht="12.75">
      <c r="B400" s="6"/>
      <c r="F400" s="6"/>
      <c r="J400" s="6"/>
      <c r="N400" s="6"/>
    </row>
    <row r="401" spans="2:14" ht="12.75">
      <c r="B401" s="6"/>
      <c r="F401" s="6"/>
      <c r="J401" s="6"/>
      <c r="N401" s="6"/>
    </row>
    <row r="402" spans="2:14" ht="12.75">
      <c r="B402" s="6"/>
      <c r="F402" s="6"/>
      <c r="J402" s="6"/>
      <c r="N402" s="6"/>
    </row>
    <row r="403" spans="2:14" ht="12.75">
      <c r="B403" s="6"/>
      <c r="F403" s="6"/>
      <c r="J403" s="6"/>
      <c r="N403" s="6"/>
    </row>
    <row r="404" spans="2:14" ht="12.75">
      <c r="B404" s="6"/>
      <c r="F404" s="6"/>
      <c r="J404" s="6"/>
      <c r="N404" s="6"/>
    </row>
    <row r="405" spans="2:14" ht="12.75">
      <c r="B405" s="6"/>
      <c r="F405" s="6"/>
      <c r="J405" s="6"/>
      <c r="N405" s="6"/>
    </row>
    <row r="406" spans="2:14" ht="12.75">
      <c r="B406" s="6"/>
      <c r="F406" s="6"/>
      <c r="J406" s="6"/>
      <c r="N406" s="6"/>
    </row>
    <row r="407" spans="2:14" ht="12.75">
      <c r="B407" s="6"/>
      <c r="F407" s="6"/>
      <c r="J407" s="6"/>
      <c r="N407" s="6"/>
    </row>
    <row r="408" spans="2:14" ht="12.75">
      <c r="B408" s="6"/>
      <c r="F408" s="6"/>
      <c r="J408" s="6"/>
      <c r="N408" s="6"/>
    </row>
    <row r="409" spans="2:14" ht="12.75">
      <c r="B409" s="6"/>
      <c r="F409" s="6"/>
      <c r="J409" s="6"/>
      <c r="N409" s="6"/>
    </row>
    <row r="410" spans="2:14" ht="12.75">
      <c r="B410" s="6"/>
      <c r="F410" s="6"/>
      <c r="J410" s="6"/>
      <c r="N410" s="6"/>
    </row>
    <row r="411" spans="2:14" ht="12.75">
      <c r="B411" s="6"/>
      <c r="F411" s="6"/>
      <c r="J411" s="6"/>
      <c r="N411" s="6"/>
    </row>
    <row r="412" spans="2:14" ht="12.75">
      <c r="B412" s="6"/>
      <c r="F412" s="6"/>
      <c r="J412" s="6"/>
      <c r="N412" s="6"/>
    </row>
    <row r="413" spans="2:14" ht="12.75">
      <c r="B413" s="6"/>
      <c r="F413" s="6"/>
      <c r="J413" s="6"/>
      <c r="N413" s="6"/>
    </row>
    <row r="414" spans="2:14" ht="12.75">
      <c r="B414" s="6"/>
      <c r="F414" s="6"/>
      <c r="J414" s="6"/>
      <c r="N414" s="6"/>
    </row>
    <row r="415" spans="2:14" ht="12.75">
      <c r="B415" s="6"/>
      <c r="F415" s="6"/>
      <c r="J415" s="6"/>
      <c r="N415" s="6"/>
    </row>
    <row r="416" spans="2:14" ht="12.75">
      <c r="B416" s="6"/>
      <c r="F416" s="6"/>
      <c r="J416" s="6"/>
      <c r="N416" s="6"/>
    </row>
    <row r="417" spans="2:14" ht="12.75">
      <c r="B417" s="6"/>
      <c r="F417" s="6"/>
      <c r="J417" s="6"/>
      <c r="N417" s="6"/>
    </row>
    <row r="418" spans="2:14" ht="12.75">
      <c r="B418" s="6"/>
      <c r="F418" s="6"/>
      <c r="J418" s="6"/>
      <c r="N418" s="6"/>
    </row>
    <row r="419" spans="2:14" ht="12.75">
      <c r="B419" s="6"/>
      <c r="F419" s="6"/>
      <c r="J419" s="6"/>
      <c r="N419" s="6"/>
    </row>
    <row r="420" spans="2:14" ht="12.75">
      <c r="B420" s="6"/>
      <c r="F420" s="6"/>
      <c r="J420" s="6"/>
      <c r="N420" s="6"/>
    </row>
    <row r="421" spans="2:14" ht="12.75">
      <c r="B421" s="6"/>
      <c r="F421" s="6"/>
      <c r="J421" s="6"/>
      <c r="N421" s="6"/>
    </row>
    <row r="422" spans="2:14" ht="12.75">
      <c r="B422" s="6"/>
      <c r="F422" s="6"/>
      <c r="J422" s="6"/>
      <c r="N422" s="6"/>
    </row>
    <row r="423" spans="2:14" ht="12.75">
      <c r="B423" s="6"/>
      <c r="F423" s="6"/>
      <c r="J423" s="6"/>
      <c r="N423" s="6"/>
    </row>
    <row r="424" spans="2:14" ht="12.75">
      <c r="B424" s="6"/>
      <c r="F424" s="6"/>
      <c r="J424" s="6"/>
      <c r="N424" s="6"/>
    </row>
    <row r="425" spans="2:14" ht="12.75">
      <c r="B425" s="6"/>
      <c r="F425" s="6"/>
      <c r="J425" s="6"/>
      <c r="N425" s="6"/>
    </row>
    <row r="426" spans="2:14" ht="12.75">
      <c r="B426" s="6"/>
      <c r="F426" s="6"/>
      <c r="J426" s="6"/>
      <c r="N426" s="6"/>
    </row>
    <row r="427" spans="2:14" ht="12.75">
      <c r="B427" s="6"/>
      <c r="F427" s="6"/>
      <c r="J427" s="6"/>
      <c r="N427" s="6"/>
    </row>
    <row r="428" spans="2:14" ht="12.75">
      <c r="B428" s="6"/>
      <c r="F428" s="6"/>
      <c r="J428" s="6"/>
      <c r="N428" s="6"/>
    </row>
    <row r="429" spans="2:14" ht="12.75">
      <c r="B429" s="6"/>
      <c r="F429" s="6"/>
      <c r="J429" s="6"/>
      <c r="N429" s="6"/>
    </row>
    <row r="430" spans="2:14" ht="12.75">
      <c r="B430" s="6"/>
      <c r="F430" s="6"/>
      <c r="J430" s="6"/>
      <c r="N430" s="6"/>
    </row>
    <row r="431" spans="2:14" ht="12.75">
      <c r="B431" s="6"/>
      <c r="F431" s="6"/>
      <c r="J431" s="6"/>
      <c r="N431" s="6"/>
    </row>
    <row r="432" spans="2:14" ht="12.75">
      <c r="B432" s="6"/>
      <c r="F432" s="6"/>
      <c r="J432" s="6"/>
      <c r="N432" s="6"/>
    </row>
    <row r="433" spans="2:14" ht="12.75">
      <c r="B433" s="6"/>
      <c r="F433" s="6"/>
      <c r="J433" s="6"/>
      <c r="N433" s="6"/>
    </row>
    <row r="434" spans="2:14" ht="12.75">
      <c r="B434" s="6"/>
      <c r="F434" s="6"/>
      <c r="J434" s="6"/>
      <c r="N434" s="6"/>
    </row>
    <row r="435" spans="2:14" ht="12.75">
      <c r="B435" s="6"/>
      <c r="F435" s="6"/>
      <c r="J435" s="6"/>
      <c r="N435" s="6"/>
    </row>
    <row r="436" spans="2:14" ht="12.75">
      <c r="B436" s="6"/>
      <c r="F436" s="6"/>
      <c r="J436" s="6"/>
      <c r="N436" s="6"/>
    </row>
    <row r="437" spans="2:14" ht="12.75">
      <c r="B437" s="6"/>
      <c r="F437" s="6"/>
      <c r="J437" s="6"/>
      <c r="N437" s="6"/>
    </row>
    <row r="438" spans="2:14" ht="12.75">
      <c r="B438" s="6"/>
      <c r="F438" s="6"/>
      <c r="J438" s="6"/>
      <c r="N438" s="6"/>
    </row>
    <row r="439" spans="2:14" ht="12.75">
      <c r="B439" s="6"/>
      <c r="F439" s="6"/>
      <c r="J439" s="6"/>
      <c r="N439" s="6"/>
    </row>
    <row r="440" spans="2:14" ht="12.75">
      <c r="B440" s="6"/>
      <c r="F440" s="6"/>
      <c r="J440" s="6"/>
      <c r="N440" s="6"/>
    </row>
    <row r="441" spans="2:14" ht="12.75">
      <c r="B441" s="6"/>
      <c r="F441" s="6"/>
      <c r="J441" s="6"/>
      <c r="N441" s="6"/>
    </row>
    <row r="442" spans="2:14" ht="12.75">
      <c r="B442" s="6"/>
      <c r="F442" s="6"/>
      <c r="J442" s="6"/>
      <c r="N442" s="6"/>
    </row>
    <row r="443" spans="2:14" ht="12.75">
      <c r="B443" s="6"/>
      <c r="F443" s="6"/>
      <c r="J443" s="6"/>
      <c r="N443" s="6"/>
    </row>
    <row r="444" spans="2:14" ht="12.75">
      <c r="B444" s="6"/>
      <c r="F444" s="6"/>
      <c r="J444" s="6"/>
      <c r="N444" s="6"/>
    </row>
    <row r="445" spans="2:14" ht="12.75">
      <c r="B445" s="6"/>
      <c r="F445" s="6"/>
      <c r="J445" s="6"/>
      <c r="N445" s="6"/>
    </row>
    <row r="446" spans="2:14" ht="12.75">
      <c r="B446" s="6"/>
      <c r="F446" s="6"/>
      <c r="J446" s="6"/>
      <c r="N446" s="6"/>
    </row>
    <row r="447" spans="2:14" ht="12.75">
      <c r="B447" s="6"/>
      <c r="F447" s="6"/>
      <c r="J447" s="6"/>
      <c r="N447" s="6"/>
    </row>
    <row r="448" spans="2:14" ht="12.75">
      <c r="B448" s="6"/>
      <c r="F448" s="6"/>
      <c r="J448" s="6"/>
      <c r="N448" s="6"/>
    </row>
    <row r="449" spans="2:14" ht="12.75">
      <c r="B449" s="6"/>
      <c r="F449" s="6"/>
      <c r="J449" s="6"/>
      <c r="N449" s="6"/>
    </row>
    <row r="450" spans="2:14" ht="12.75">
      <c r="B450" s="6"/>
      <c r="F450" s="6"/>
      <c r="J450" s="6"/>
      <c r="N450" s="6"/>
    </row>
    <row r="451" spans="2:14" ht="12.75">
      <c r="B451" s="6"/>
      <c r="F451" s="6"/>
      <c r="J451" s="6"/>
      <c r="N451" s="6"/>
    </row>
    <row r="452" spans="2:14" ht="12.75">
      <c r="B452" s="6"/>
      <c r="F452" s="6"/>
      <c r="J452" s="6"/>
      <c r="N452" s="6"/>
    </row>
    <row r="453" spans="2:14" ht="12.75">
      <c r="B453" s="6"/>
      <c r="F453" s="6"/>
      <c r="J453" s="6"/>
      <c r="N453" s="6"/>
    </row>
    <row r="454" spans="2:14" ht="12.75">
      <c r="B454" s="6"/>
      <c r="F454" s="6"/>
      <c r="J454" s="6"/>
      <c r="N454" s="6"/>
    </row>
    <row r="455" spans="2:14" ht="12.75">
      <c r="B455" s="6"/>
      <c r="F455" s="6"/>
      <c r="J455" s="6"/>
      <c r="N455" s="6"/>
    </row>
    <row r="456" spans="2:14" ht="12.75">
      <c r="B456" s="6"/>
      <c r="F456" s="6"/>
      <c r="J456" s="6"/>
      <c r="N456" s="6"/>
    </row>
    <row r="457" spans="2:14" ht="12.75">
      <c r="B457" s="6"/>
      <c r="F457" s="6"/>
      <c r="J457" s="6"/>
      <c r="N457" s="6"/>
    </row>
    <row r="458" spans="2:14" ht="12.75">
      <c r="B458" s="6"/>
      <c r="F458" s="6"/>
      <c r="J458" s="6"/>
      <c r="N458" s="6"/>
    </row>
    <row r="459" spans="2:14" ht="12.75">
      <c r="B459" s="6"/>
      <c r="F459" s="6"/>
      <c r="J459" s="6"/>
      <c r="N459" s="6"/>
    </row>
    <row r="460" spans="2:14" ht="12.75">
      <c r="B460" s="6"/>
      <c r="F460" s="6"/>
      <c r="J460" s="6"/>
      <c r="N460" s="6"/>
    </row>
    <row r="461" spans="2:14" ht="12.75">
      <c r="B461" s="6"/>
      <c r="F461" s="6"/>
      <c r="J461" s="6"/>
      <c r="N461" s="6"/>
    </row>
    <row r="462" spans="2:14" ht="12.75">
      <c r="B462" s="6"/>
      <c r="F462" s="6"/>
      <c r="J462" s="6"/>
      <c r="N462" s="6"/>
    </row>
    <row r="463" spans="2:14" ht="12.75">
      <c r="B463" s="6"/>
      <c r="F463" s="6"/>
      <c r="J463" s="6"/>
      <c r="N463" s="6"/>
    </row>
    <row r="464" spans="2:14" ht="12.75">
      <c r="B464" s="6"/>
      <c r="F464" s="6"/>
      <c r="J464" s="6"/>
      <c r="N464" s="6"/>
    </row>
    <row r="465" spans="2:14" ht="12.75">
      <c r="B465" s="6"/>
      <c r="F465" s="6"/>
      <c r="J465" s="6"/>
      <c r="N465" s="6"/>
    </row>
    <row r="466" spans="2:14" ht="12.75">
      <c r="B466" s="6"/>
      <c r="F466" s="6"/>
      <c r="J466" s="6"/>
      <c r="N466" s="6"/>
    </row>
    <row r="467" spans="2:14" ht="12.75">
      <c r="B467" s="6"/>
      <c r="F467" s="6"/>
      <c r="J467" s="6"/>
      <c r="N467" s="6"/>
    </row>
    <row r="468" spans="2:14" ht="12.75">
      <c r="B468" s="6"/>
      <c r="F468" s="6"/>
      <c r="J468" s="6"/>
      <c r="N468" s="6"/>
    </row>
    <row r="469" spans="2:14" ht="12.75">
      <c r="B469" s="6"/>
      <c r="F469" s="6"/>
      <c r="J469" s="6"/>
      <c r="N469" s="6"/>
    </row>
    <row r="470" spans="2:14" ht="12.75">
      <c r="B470" s="6"/>
      <c r="F470" s="6"/>
      <c r="J470" s="6"/>
      <c r="N470" s="6"/>
    </row>
    <row r="471" spans="2:14" ht="12.75">
      <c r="B471" s="6"/>
      <c r="F471" s="6"/>
      <c r="J471" s="6"/>
      <c r="N471" s="6"/>
    </row>
    <row r="472" spans="2:14" ht="12.75">
      <c r="B472" s="6"/>
      <c r="F472" s="6"/>
      <c r="J472" s="6"/>
      <c r="N472" s="6"/>
    </row>
    <row r="473" spans="2:14" ht="12.75">
      <c r="B473" s="6"/>
      <c r="F473" s="6"/>
      <c r="J473" s="6"/>
      <c r="N473" s="6"/>
    </row>
    <row r="474" spans="2:14" ht="12.75">
      <c r="B474" s="6"/>
      <c r="F474" s="6"/>
      <c r="J474" s="6"/>
      <c r="N474" s="6"/>
    </row>
    <row r="475" spans="2:14" ht="12.75">
      <c r="B475" s="6"/>
      <c r="F475" s="6"/>
      <c r="J475" s="6"/>
      <c r="N475" s="6"/>
    </row>
    <row r="476" spans="2:14" ht="12.75">
      <c r="B476" s="6"/>
      <c r="F476" s="6"/>
      <c r="J476" s="6"/>
      <c r="N476" s="6"/>
    </row>
    <row r="477" spans="2:14" ht="12.75">
      <c r="B477" s="6"/>
      <c r="F477" s="6"/>
      <c r="J477" s="6"/>
      <c r="N477" s="6"/>
    </row>
    <row r="478" spans="2:14" ht="12.75">
      <c r="B478" s="6"/>
      <c r="F478" s="6"/>
      <c r="J478" s="6"/>
      <c r="N478" s="6"/>
    </row>
    <row r="479" spans="2:14" ht="12.75">
      <c r="B479" s="6"/>
      <c r="F479" s="6"/>
      <c r="J479" s="6"/>
      <c r="N479" s="6"/>
    </row>
    <row r="480" spans="2:14" ht="12.75">
      <c r="B480" s="6"/>
      <c r="F480" s="6"/>
      <c r="J480" s="6"/>
      <c r="N480" s="6"/>
    </row>
    <row r="481" spans="2:14" ht="12.75">
      <c r="B481" s="6"/>
      <c r="F481" s="6"/>
      <c r="J481" s="6"/>
      <c r="N481" s="6"/>
    </row>
    <row r="482" spans="2:14" ht="12.75">
      <c r="B482" s="6"/>
      <c r="F482" s="6"/>
      <c r="J482" s="6"/>
      <c r="N482" s="6"/>
    </row>
    <row r="483" spans="2:14" ht="12.75">
      <c r="B483" s="6"/>
      <c r="F483" s="6"/>
      <c r="J483" s="6"/>
      <c r="N483" s="6"/>
    </row>
    <row r="484" spans="2:14" ht="12.75">
      <c r="B484" s="6"/>
      <c r="F484" s="6"/>
      <c r="J484" s="6"/>
      <c r="N484" s="6"/>
    </row>
    <row r="485" spans="2:14" ht="12.75">
      <c r="B485" s="6"/>
      <c r="F485" s="6"/>
      <c r="J485" s="6"/>
      <c r="N485" s="6"/>
    </row>
    <row r="486" spans="2:14" ht="12.75">
      <c r="B486" s="6"/>
      <c r="F486" s="6"/>
      <c r="J486" s="6"/>
      <c r="N486" s="6"/>
    </row>
    <row r="487" spans="2:14" ht="12.75">
      <c r="B487" s="6"/>
      <c r="F487" s="6"/>
      <c r="J487" s="6"/>
      <c r="N487" s="6"/>
    </row>
    <row r="488" spans="2:14" ht="12.75">
      <c r="B488" s="6"/>
      <c r="F488" s="6"/>
      <c r="J488" s="6"/>
      <c r="N488" s="6"/>
    </row>
    <row r="489" spans="2:14" ht="12.75">
      <c r="B489" s="6"/>
      <c r="F489" s="6"/>
      <c r="J489" s="6"/>
      <c r="N489" s="6"/>
    </row>
    <row r="490" spans="2:14" ht="12.75">
      <c r="B490" s="6"/>
      <c r="F490" s="6"/>
      <c r="J490" s="6"/>
      <c r="N490" s="6"/>
    </row>
    <row r="491" spans="2:14" ht="12.75">
      <c r="B491" s="6"/>
      <c r="F491" s="6"/>
      <c r="J491" s="6"/>
      <c r="N491" s="6"/>
    </row>
    <row r="492" spans="2:14" ht="12.75">
      <c r="B492" s="6"/>
      <c r="F492" s="6"/>
      <c r="J492" s="6"/>
      <c r="N492" s="6"/>
    </row>
    <row r="493" spans="2:14" ht="12.75">
      <c r="B493" s="6"/>
      <c r="F493" s="6"/>
      <c r="J493" s="6"/>
      <c r="N493" s="6"/>
    </row>
    <row r="494" spans="2:14" ht="12.75">
      <c r="B494" s="6"/>
      <c r="F494" s="6"/>
      <c r="J494" s="6"/>
      <c r="N494" s="6"/>
    </row>
    <row r="495" spans="2:14" ht="12.75">
      <c r="B495" s="6"/>
      <c r="F495" s="6"/>
      <c r="J495" s="6"/>
      <c r="N495" s="6"/>
    </row>
    <row r="496" spans="2:14" ht="12.75">
      <c r="B496" s="6"/>
      <c r="F496" s="6"/>
      <c r="J496" s="6"/>
      <c r="N496" s="6"/>
    </row>
    <row r="497" spans="2:14" ht="12.75">
      <c r="B497" s="6"/>
      <c r="F497" s="6"/>
      <c r="J497" s="6"/>
      <c r="N497" s="6"/>
    </row>
    <row r="498" spans="2:14" ht="12.75">
      <c r="B498" s="6"/>
      <c r="F498" s="6"/>
      <c r="J498" s="6"/>
      <c r="N498" s="6"/>
    </row>
    <row r="499" spans="2:14" ht="12.75">
      <c r="B499" s="6"/>
      <c r="F499" s="6"/>
      <c r="J499" s="6"/>
      <c r="N499" s="6"/>
    </row>
    <row r="500" spans="2:14" ht="12.75">
      <c r="B500" s="6"/>
      <c r="F500" s="6"/>
      <c r="J500" s="6"/>
      <c r="N500" s="6"/>
    </row>
    <row r="501" spans="2:14" ht="12.75">
      <c r="B501" s="6"/>
      <c r="F501" s="6"/>
      <c r="J501" s="6"/>
      <c r="N501" s="6"/>
    </row>
    <row r="502" spans="2:14" ht="12.75">
      <c r="B502" s="6"/>
      <c r="F502" s="6"/>
      <c r="J502" s="6"/>
      <c r="N502" s="6"/>
    </row>
    <row r="503" spans="2:14" ht="12.75">
      <c r="B503" s="6"/>
      <c r="F503" s="6"/>
      <c r="J503" s="6"/>
      <c r="N503" s="6"/>
    </row>
    <row r="504" spans="2:14" ht="12.75">
      <c r="B504" s="6"/>
      <c r="F504" s="6"/>
      <c r="J504" s="6"/>
      <c r="N504" s="6"/>
    </row>
    <row r="505" spans="2:14" ht="12.75">
      <c r="B505" s="6"/>
      <c r="F505" s="6"/>
      <c r="J505" s="6"/>
      <c r="N505" s="6"/>
    </row>
    <row r="506" spans="2:14" ht="12.75">
      <c r="B506" s="6"/>
      <c r="F506" s="6"/>
      <c r="J506" s="6"/>
      <c r="N506" s="6"/>
    </row>
    <row r="507" spans="2:14" ht="12.75">
      <c r="B507" s="6"/>
      <c r="F507" s="6"/>
      <c r="J507" s="6"/>
      <c r="N507" s="6"/>
    </row>
    <row r="508" spans="2:14" ht="12.75">
      <c r="B508" s="6"/>
      <c r="F508" s="6"/>
      <c r="J508" s="6"/>
      <c r="N508" s="6"/>
    </row>
    <row r="509" spans="2:14" ht="12.75">
      <c r="B509" s="6"/>
      <c r="F509" s="6"/>
      <c r="J509" s="6"/>
      <c r="N509" s="6"/>
    </row>
    <row r="510" spans="2:14" ht="12.75">
      <c r="B510" s="6"/>
      <c r="F510" s="6"/>
      <c r="J510" s="6"/>
      <c r="N510" s="6"/>
    </row>
    <row r="511" spans="2:14" ht="12.75">
      <c r="B511" s="6"/>
      <c r="F511" s="6"/>
      <c r="J511" s="6"/>
      <c r="N511" s="6"/>
    </row>
    <row r="512" spans="2:14" ht="12.75">
      <c r="B512" s="6"/>
      <c r="F512" s="6"/>
      <c r="J512" s="6"/>
      <c r="N512" s="6"/>
    </row>
    <row r="513" spans="2:14" ht="12.75">
      <c r="B513" s="6"/>
      <c r="F513" s="6"/>
      <c r="J513" s="6"/>
      <c r="N513" s="6"/>
    </row>
    <row r="514" spans="2:14" ht="12.75">
      <c r="B514" s="6"/>
      <c r="F514" s="6"/>
      <c r="J514" s="6"/>
      <c r="N514" s="6"/>
    </row>
    <row r="515" spans="2:14" ht="12.75">
      <c r="B515" s="6"/>
      <c r="F515" s="6"/>
      <c r="J515" s="6"/>
      <c r="N515" s="6"/>
    </row>
    <row r="516" spans="2:14" ht="12.75">
      <c r="B516" s="6"/>
      <c r="F516" s="6"/>
      <c r="J516" s="6"/>
      <c r="N516" s="6"/>
    </row>
    <row r="517" spans="2:14" ht="12.75">
      <c r="B517" s="6"/>
      <c r="F517" s="6"/>
      <c r="J517" s="6"/>
      <c r="N517" s="6"/>
    </row>
    <row r="518" spans="2:14" ht="12.75">
      <c r="B518" s="6"/>
      <c r="F518" s="6"/>
      <c r="J518" s="6"/>
      <c r="N518" s="6"/>
    </row>
    <row r="519" spans="2:14" ht="12.75">
      <c r="B519" s="6"/>
      <c r="F519" s="6"/>
      <c r="J519" s="6"/>
      <c r="N519" s="6"/>
    </row>
    <row r="520" spans="2:14" ht="12.75">
      <c r="B520" s="6"/>
      <c r="F520" s="6"/>
      <c r="J520" s="6"/>
      <c r="N520" s="6"/>
    </row>
    <row r="521" spans="2:14" ht="12.75">
      <c r="B521" s="6"/>
      <c r="F521" s="6"/>
      <c r="J521" s="6"/>
      <c r="N521" s="6"/>
    </row>
    <row r="522" spans="2:14" ht="12.75">
      <c r="B522" s="6"/>
      <c r="F522" s="6"/>
      <c r="J522" s="6"/>
      <c r="N522" s="6"/>
    </row>
    <row r="523" spans="2:14" ht="12.75">
      <c r="B523" s="6"/>
      <c r="F523" s="6"/>
      <c r="J523" s="6"/>
      <c r="N523" s="6"/>
    </row>
    <row r="524" spans="2:14" ht="12.75">
      <c r="B524" s="6"/>
      <c r="F524" s="6"/>
      <c r="J524" s="6"/>
      <c r="N524" s="6"/>
    </row>
    <row r="525" spans="2:14" ht="12.75">
      <c r="B525" s="6"/>
      <c r="F525" s="6"/>
      <c r="J525" s="6"/>
      <c r="N525" s="6"/>
    </row>
    <row r="526" spans="2:14" ht="12.75">
      <c r="B526" s="6"/>
      <c r="F526" s="6"/>
      <c r="J526" s="6"/>
      <c r="N526" s="6"/>
    </row>
    <row r="527" spans="2:14" ht="12.75">
      <c r="B527" s="6"/>
      <c r="F527" s="6"/>
      <c r="J527" s="6"/>
      <c r="N527" s="6"/>
    </row>
    <row r="528" spans="2:14" ht="12.75">
      <c r="B528" s="6"/>
      <c r="F528" s="6"/>
      <c r="J528" s="6"/>
      <c r="N528" s="6"/>
    </row>
    <row r="529" spans="2:14" ht="12.75">
      <c r="B529" s="6"/>
      <c r="F529" s="6"/>
      <c r="J529" s="6"/>
      <c r="N529" s="6"/>
    </row>
    <row r="530" spans="2:14" ht="12.75">
      <c r="B530" s="6"/>
      <c r="F530" s="6"/>
      <c r="J530" s="6"/>
      <c r="N530" s="6"/>
    </row>
    <row r="531" spans="2:14" ht="12.75">
      <c r="B531" s="6"/>
      <c r="F531" s="6"/>
      <c r="J531" s="6"/>
      <c r="N531" s="6"/>
    </row>
    <row r="532" spans="2:14" ht="12.75">
      <c r="B532" s="6"/>
      <c r="F532" s="6"/>
      <c r="J532" s="6"/>
      <c r="N532" s="6"/>
    </row>
    <row r="533" spans="2:14" ht="12.75">
      <c r="B533" s="6"/>
      <c r="F533" s="6"/>
      <c r="J533" s="6"/>
      <c r="N533" s="6"/>
    </row>
    <row r="534" spans="2:14" ht="12.75">
      <c r="B534" s="6"/>
      <c r="F534" s="6"/>
      <c r="J534" s="6"/>
      <c r="N534" s="6"/>
    </row>
    <row r="535" spans="2:14" ht="12.75">
      <c r="B535" s="6"/>
      <c r="F535" s="6"/>
      <c r="J535" s="6"/>
      <c r="N535" s="6"/>
    </row>
    <row r="536" spans="2:14" ht="12.75">
      <c r="B536" s="6"/>
      <c r="F536" s="6"/>
      <c r="J536" s="6"/>
      <c r="N536" s="6"/>
    </row>
    <row r="537" spans="2:14" ht="12.75">
      <c r="B537" s="6"/>
      <c r="F537" s="6"/>
      <c r="J537" s="6"/>
      <c r="N537" s="6"/>
    </row>
    <row r="538" spans="2:14" ht="12.75">
      <c r="B538" s="6"/>
      <c r="F538" s="6"/>
      <c r="J538" s="6"/>
      <c r="N538" s="6"/>
    </row>
    <row r="539" spans="2:14" ht="12.75">
      <c r="B539" s="6"/>
      <c r="F539" s="6"/>
      <c r="J539" s="6"/>
      <c r="N539" s="6"/>
    </row>
    <row r="540" spans="2:14" ht="12.75">
      <c r="B540" s="6"/>
      <c r="F540" s="6"/>
      <c r="J540" s="6"/>
      <c r="N540" s="6"/>
    </row>
    <row r="541" spans="2:14" ht="12.75">
      <c r="B541" s="6"/>
      <c r="F541" s="6"/>
      <c r="J541" s="6"/>
      <c r="N541" s="6"/>
    </row>
    <row r="542" spans="2:14" ht="12.75">
      <c r="B542" s="6"/>
      <c r="F542" s="6"/>
      <c r="J542" s="6"/>
      <c r="N542" s="6"/>
    </row>
    <row r="543" spans="2:14" ht="12.75">
      <c r="B543" s="6"/>
      <c r="F543" s="6"/>
      <c r="J543" s="6"/>
      <c r="N543" s="6"/>
    </row>
    <row r="544" spans="2:14" ht="12.75">
      <c r="B544" s="6"/>
      <c r="F544" s="6"/>
      <c r="J544" s="6"/>
      <c r="N544" s="6"/>
    </row>
    <row r="545" spans="2:14" ht="12.75">
      <c r="B545" s="6"/>
      <c r="F545" s="6"/>
      <c r="J545" s="6"/>
      <c r="N545" s="6"/>
    </row>
    <row r="546" spans="2:14" ht="12.75">
      <c r="B546" s="6"/>
      <c r="F546" s="6"/>
      <c r="J546" s="6"/>
      <c r="N546" s="6"/>
    </row>
    <row r="547" spans="2:14" ht="12.75">
      <c r="B547" s="6"/>
      <c r="F547" s="6"/>
      <c r="J547" s="6"/>
      <c r="N547" s="6"/>
    </row>
    <row r="548" spans="2:14" ht="12.75">
      <c r="B548" s="6"/>
      <c r="F548" s="6"/>
      <c r="J548" s="6"/>
      <c r="N548" s="6"/>
    </row>
    <row r="549" spans="2:14" ht="12.75">
      <c r="B549" s="6"/>
      <c r="F549" s="6"/>
      <c r="J549" s="6"/>
      <c r="N549" s="6"/>
    </row>
    <row r="550" spans="2:14" ht="12.75">
      <c r="B550" s="6"/>
      <c r="F550" s="6"/>
      <c r="J550" s="6"/>
      <c r="N550" s="6"/>
    </row>
    <row r="551" spans="2:14" ht="12.75">
      <c r="B551" s="6"/>
      <c r="F551" s="6"/>
      <c r="J551" s="6"/>
      <c r="N551" s="6"/>
    </row>
    <row r="552" spans="2:14" ht="12.75">
      <c r="B552" s="6"/>
      <c r="F552" s="6"/>
      <c r="J552" s="6"/>
      <c r="N552" s="6"/>
    </row>
    <row r="553" spans="2:14" ht="12.75">
      <c r="B553" s="6"/>
      <c r="F553" s="6"/>
      <c r="J553" s="6"/>
      <c r="N553" s="6"/>
    </row>
    <row r="554" spans="2:14" ht="12.75">
      <c r="B554" s="6"/>
      <c r="F554" s="6"/>
      <c r="J554" s="6"/>
      <c r="N554" s="6"/>
    </row>
    <row r="555" spans="2:14" ht="12.75">
      <c r="B555" s="6"/>
      <c r="F555" s="6"/>
      <c r="J555" s="6"/>
      <c r="N555" s="6"/>
    </row>
    <row r="556" spans="2:14" ht="12.75">
      <c r="B556" s="6"/>
      <c r="F556" s="6"/>
      <c r="J556" s="6"/>
      <c r="N556" s="6"/>
    </row>
    <row r="557" spans="2:14" ht="12.75">
      <c r="B557" s="6"/>
      <c r="F557" s="6"/>
      <c r="J557" s="6"/>
      <c r="N557" s="6"/>
    </row>
    <row r="558" spans="2:14" ht="12.75">
      <c r="B558" s="6"/>
      <c r="F558" s="6"/>
      <c r="J558" s="6"/>
      <c r="N558" s="6"/>
    </row>
    <row r="559" spans="2:14" ht="12.75">
      <c r="B559" s="6"/>
      <c r="F559" s="6"/>
      <c r="J559" s="6"/>
      <c r="N559" s="6"/>
    </row>
    <row r="560" spans="2:14" ht="12.75">
      <c r="B560" s="6"/>
      <c r="F560" s="6"/>
      <c r="J560" s="6"/>
      <c r="N560" s="6"/>
    </row>
    <row r="561" spans="2:14" ht="12.75">
      <c r="B561" s="6"/>
      <c r="F561" s="6"/>
      <c r="J561" s="6"/>
      <c r="N561" s="6"/>
    </row>
    <row r="562" spans="2:14" ht="12.75">
      <c r="B562" s="6"/>
      <c r="F562" s="6"/>
      <c r="J562" s="6"/>
      <c r="N562" s="6"/>
    </row>
    <row r="563" spans="2:14" ht="12.75">
      <c r="B563" s="6"/>
      <c r="F563" s="6"/>
      <c r="J563" s="6"/>
      <c r="N563" s="6"/>
    </row>
    <row r="564" spans="2:14" ht="12.75">
      <c r="B564" s="6"/>
      <c r="F564" s="6"/>
      <c r="J564" s="6"/>
      <c r="N564" s="6"/>
    </row>
    <row r="565" spans="2:14" ht="12.75">
      <c r="B565" s="6"/>
      <c r="F565" s="6"/>
      <c r="J565" s="6"/>
      <c r="N565" s="6"/>
    </row>
    <row r="566" spans="2:14" ht="12.75">
      <c r="B566" s="6"/>
      <c r="F566" s="6"/>
      <c r="J566" s="6"/>
      <c r="N566" s="6"/>
    </row>
    <row r="567" spans="2:14" ht="12.75">
      <c r="B567" s="6"/>
      <c r="F567" s="6"/>
      <c r="J567" s="6"/>
      <c r="N567" s="6"/>
    </row>
    <row r="568" spans="2:14" ht="12.75">
      <c r="B568" s="6"/>
      <c r="F568" s="6"/>
      <c r="J568" s="6"/>
      <c r="N568" s="6"/>
    </row>
    <row r="569" spans="2:14" ht="12.75">
      <c r="B569" s="6"/>
      <c r="F569" s="6"/>
      <c r="J569" s="6"/>
      <c r="N569" s="6"/>
    </row>
    <row r="570" spans="2:14" ht="12.75">
      <c r="B570" s="6"/>
      <c r="F570" s="6"/>
      <c r="J570" s="6"/>
      <c r="N570" s="6"/>
    </row>
    <row r="571" spans="2:14" ht="12.75">
      <c r="B571" s="6"/>
      <c r="F571" s="6"/>
      <c r="J571" s="6"/>
      <c r="N571" s="6"/>
    </row>
    <row r="572" spans="2:14" ht="12.75">
      <c r="B572" s="6"/>
      <c r="F572" s="6"/>
      <c r="J572" s="6"/>
      <c r="N572" s="6"/>
    </row>
    <row r="573" spans="2:14" ht="12.75">
      <c r="B573" s="6"/>
      <c r="F573" s="6"/>
      <c r="J573" s="6"/>
      <c r="N573" s="6"/>
    </row>
    <row r="574" spans="2:14" ht="12.75">
      <c r="B574" s="6"/>
      <c r="F574" s="6"/>
      <c r="J574" s="6"/>
      <c r="N574" s="6"/>
    </row>
    <row r="575" spans="2:14" ht="12.75">
      <c r="B575" s="6"/>
      <c r="F575" s="6"/>
      <c r="J575" s="6"/>
      <c r="N575" s="6"/>
    </row>
    <row r="576" spans="2:14" ht="12.75">
      <c r="B576" s="6"/>
      <c r="F576" s="6"/>
      <c r="J576" s="6"/>
      <c r="N576" s="6"/>
    </row>
    <row r="577" spans="2:14" ht="12.75">
      <c r="B577" s="6"/>
      <c r="F577" s="6"/>
      <c r="J577" s="6"/>
      <c r="N577" s="6"/>
    </row>
    <row r="578" spans="2:14" ht="12.75">
      <c r="B578" s="6"/>
      <c r="F578" s="6"/>
      <c r="J578" s="6"/>
      <c r="N578" s="6"/>
    </row>
    <row r="579" spans="2:14" ht="12.75">
      <c r="B579" s="6"/>
      <c r="F579" s="6"/>
      <c r="J579" s="6"/>
      <c r="N579" s="6"/>
    </row>
    <row r="580" spans="2:14" ht="12.75">
      <c r="B580" s="6"/>
      <c r="F580" s="6"/>
      <c r="J580" s="6"/>
      <c r="N580" s="6"/>
    </row>
    <row r="581" spans="2:14" ht="12.75">
      <c r="B581" s="6"/>
      <c r="F581" s="6"/>
      <c r="J581" s="6"/>
      <c r="N581" s="6"/>
    </row>
    <row r="582" spans="2:14" ht="12.75">
      <c r="B582" s="6"/>
      <c r="F582" s="6"/>
      <c r="J582" s="6"/>
      <c r="N582" s="6"/>
    </row>
    <row r="583" spans="2:14" ht="12.75">
      <c r="B583" s="6"/>
      <c r="F583" s="6"/>
      <c r="J583" s="6"/>
      <c r="N583" s="6"/>
    </row>
    <row r="584" spans="2:14" ht="12.75">
      <c r="B584" s="6"/>
      <c r="F584" s="6"/>
      <c r="J584" s="6"/>
      <c r="N584" s="6"/>
    </row>
    <row r="585" spans="2:14" ht="12.75">
      <c r="B585" s="6"/>
      <c r="F585" s="6"/>
      <c r="J585" s="6"/>
      <c r="N585" s="6"/>
    </row>
    <row r="586" spans="2:14" ht="12.75">
      <c r="B586" s="6"/>
      <c r="F586" s="6"/>
      <c r="J586" s="6"/>
      <c r="N586" s="6"/>
    </row>
    <row r="587" spans="2:14" ht="12.75">
      <c r="B587" s="6"/>
      <c r="F587" s="6"/>
      <c r="J587" s="6"/>
      <c r="N587" s="6"/>
    </row>
    <row r="588" spans="2:14" ht="12.75">
      <c r="B588" s="6"/>
      <c r="F588" s="6"/>
      <c r="J588" s="6"/>
      <c r="N588" s="6"/>
    </row>
    <row r="589" spans="2:14" ht="12.75">
      <c r="B589" s="6"/>
      <c r="F589" s="6"/>
      <c r="J589" s="6"/>
      <c r="N589" s="6"/>
    </row>
    <row r="590" spans="2:14" ht="12.75">
      <c r="B590" s="6"/>
      <c r="F590" s="6"/>
      <c r="J590" s="6"/>
      <c r="N590" s="6"/>
    </row>
    <row r="591" spans="2:14" ht="12.75">
      <c r="B591" s="6"/>
      <c r="F591" s="6"/>
      <c r="J591" s="6"/>
      <c r="N591" s="6"/>
    </row>
    <row r="592" spans="2:14" ht="12.75">
      <c r="B592" s="6"/>
      <c r="F592" s="6"/>
      <c r="J592" s="6"/>
      <c r="N592" s="6"/>
    </row>
    <row r="593" spans="2:14" ht="12.75">
      <c r="B593" s="6"/>
      <c r="F593" s="6"/>
      <c r="J593" s="6"/>
      <c r="N593" s="6"/>
    </row>
    <row r="594" spans="2:14" ht="12.75">
      <c r="B594" s="6"/>
      <c r="F594" s="6"/>
      <c r="J594" s="6"/>
      <c r="N594" s="6"/>
    </row>
    <row r="595" spans="2:14" ht="12.75">
      <c r="B595" s="6"/>
      <c r="F595" s="6"/>
      <c r="J595" s="6"/>
      <c r="N595" s="6"/>
    </row>
    <row r="596" spans="2:14" ht="12.75">
      <c r="B596" s="6"/>
      <c r="F596" s="6"/>
      <c r="J596" s="6"/>
      <c r="N596" s="6"/>
    </row>
    <row r="597" spans="2:14" ht="12.75">
      <c r="B597" s="6"/>
      <c r="F597" s="6"/>
      <c r="J597" s="6"/>
      <c r="N597" s="6"/>
    </row>
    <row r="598" spans="2:14" ht="12.75">
      <c r="B598" s="6"/>
      <c r="F598" s="6"/>
      <c r="J598" s="6"/>
      <c r="N598" s="6"/>
    </row>
    <row r="599" spans="2:14" ht="12.75">
      <c r="B599" s="6"/>
      <c r="F599" s="6"/>
      <c r="J599" s="6"/>
      <c r="N599" s="6"/>
    </row>
    <row r="600" spans="2:14" ht="12.75">
      <c r="B600" s="6"/>
      <c r="F600" s="6"/>
      <c r="J600" s="6"/>
      <c r="N600" s="6"/>
    </row>
    <row r="601" spans="2:14" ht="12.75">
      <c r="B601" s="6"/>
      <c r="F601" s="6"/>
      <c r="J601" s="6"/>
      <c r="N601" s="6"/>
    </row>
    <row r="602" spans="2:14" ht="12.75">
      <c r="B602" s="6"/>
      <c r="F602" s="6"/>
      <c r="J602" s="6"/>
      <c r="N602" s="6"/>
    </row>
    <row r="603" spans="2:14" ht="12.75">
      <c r="B603" s="6"/>
      <c r="F603" s="6"/>
      <c r="J603" s="6"/>
      <c r="N603" s="6"/>
    </row>
    <row r="604" spans="2:14" ht="12.75">
      <c r="B604" s="6"/>
      <c r="F604" s="6"/>
      <c r="J604" s="6"/>
      <c r="N604" s="6"/>
    </row>
    <row r="605" spans="2:14" ht="12.75">
      <c r="B605" s="6"/>
      <c r="F605" s="6"/>
      <c r="J605" s="6"/>
      <c r="N605" s="6"/>
    </row>
    <row r="606" spans="2:14" ht="12.75">
      <c r="B606" s="6"/>
      <c r="F606" s="6"/>
      <c r="J606" s="6"/>
      <c r="N606" s="6"/>
    </row>
    <row r="607" spans="2:14" ht="12.75">
      <c r="B607" s="6"/>
      <c r="F607" s="6"/>
      <c r="J607" s="6"/>
      <c r="N607" s="6"/>
    </row>
    <row r="608" spans="2:14" ht="12.75">
      <c r="B608" s="6"/>
      <c r="F608" s="6"/>
      <c r="J608" s="6"/>
      <c r="N608" s="6"/>
    </row>
    <row r="609" spans="2:14" ht="12.75">
      <c r="B609" s="6"/>
      <c r="F609" s="6"/>
      <c r="J609" s="6"/>
      <c r="N609" s="6"/>
    </row>
    <row r="610" spans="2:14" ht="12.75">
      <c r="B610" s="6"/>
      <c r="F610" s="6"/>
      <c r="J610" s="6"/>
      <c r="N610" s="6"/>
    </row>
    <row r="611" spans="2:14" ht="12.75">
      <c r="B611" s="6"/>
      <c r="F611" s="6"/>
      <c r="J611" s="6"/>
      <c r="N611" s="6"/>
    </row>
    <row r="612" spans="2:14" ht="12.75">
      <c r="B612" s="6"/>
      <c r="F612" s="6"/>
      <c r="J612" s="6"/>
      <c r="N612" s="6"/>
    </row>
    <row r="613" spans="2:14" ht="12.75">
      <c r="B613" s="6"/>
      <c r="F613" s="6"/>
      <c r="J613" s="6"/>
      <c r="N613" s="6"/>
    </row>
    <row r="614" spans="2:14" ht="12.75">
      <c r="B614" s="6"/>
      <c r="F614" s="6"/>
      <c r="J614" s="6"/>
      <c r="N614" s="6"/>
    </row>
    <row r="615" spans="2:14" ht="12.75">
      <c r="B615" s="6"/>
      <c r="F615" s="6"/>
      <c r="J615" s="6"/>
      <c r="N615" s="6"/>
    </row>
    <row r="616" spans="2:14" ht="12.75">
      <c r="B616" s="6"/>
      <c r="F616" s="6"/>
      <c r="J616" s="6"/>
      <c r="N616" s="6"/>
    </row>
    <row r="617" spans="2:14" ht="12.75">
      <c r="B617" s="6"/>
      <c r="F617" s="6"/>
      <c r="J617" s="6"/>
      <c r="N617" s="6"/>
    </row>
    <row r="618" spans="2:14" ht="12.75">
      <c r="B618" s="6"/>
      <c r="F618" s="6"/>
      <c r="J618" s="6"/>
      <c r="N618" s="6"/>
    </row>
    <row r="619" spans="2:14" ht="12.75">
      <c r="B619" s="6"/>
      <c r="F619" s="6"/>
      <c r="J619" s="6"/>
      <c r="N619" s="6"/>
    </row>
    <row r="620" spans="2:14" ht="12.75">
      <c r="B620" s="6"/>
      <c r="F620" s="6"/>
      <c r="J620" s="6"/>
      <c r="N620" s="6"/>
    </row>
    <row r="621" spans="2:14" ht="12.75">
      <c r="B621" s="6"/>
      <c r="F621" s="6"/>
      <c r="J621" s="6"/>
      <c r="N621" s="6"/>
    </row>
    <row r="622" spans="2:14" ht="12.75">
      <c r="B622" s="6"/>
      <c r="F622" s="6"/>
      <c r="J622" s="6"/>
      <c r="N622" s="6"/>
    </row>
    <row r="623" spans="2:14" ht="12.75">
      <c r="B623" s="6"/>
      <c r="F623" s="6"/>
      <c r="J623" s="6"/>
      <c r="N623" s="6"/>
    </row>
    <row r="624" spans="2:14" ht="12.75">
      <c r="B624" s="6"/>
      <c r="F624" s="6"/>
      <c r="J624" s="6"/>
      <c r="N624" s="6"/>
    </row>
    <row r="625" spans="2:14" ht="12.75">
      <c r="B625" s="6"/>
      <c r="F625" s="6"/>
      <c r="J625" s="6"/>
      <c r="N625" s="6"/>
    </row>
    <row r="626" spans="2:14" ht="12.75">
      <c r="B626" s="6"/>
      <c r="F626" s="6"/>
      <c r="J626" s="6"/>
      <c r="N626" s="6"/>
    </row>
    <row r="627" spans="2:14" ht="12.75">
      <c r="B627" s="6"/>
      <c r="F627" s="6"/>
      <c r="J627" s="6"/>
      <c r="N627" s="6"/>
    </row>
    <row r="628" spans="2:14" ht="12.75">
      <c r="B628" s="6"/>
      <c r="F628" s="6"/>
      <c r="J628" s="6"/>
      <c r="N628" s="6"/>
    </row>
    <row r="629" spans="2:14" ht="12.75">
      <c r="B629" s="6"/>
      <c r="F629" s="6"/>
      <c r="J629" s="6"/>
      <c r="N629" s="6"/>
    </row>
    <row r="630" spans="2:14" ht="12.75">
      <c r="B630" s="6"/>
      <c r="F630" s="6"/>
      <c r="J630" s="6"/>
      <c r="N630" s="6"/>
    </row>
    <row r="631" spans="2:14" ht="12.75">
      <c r="B631" s="6"/>
      <c r="F631" s="6"/>
      <c r="J631" s="6"/>
      <c r="N631" s="6"/>
    </row>
    <row r="632" spans="2:14" ht="12.75">
      <c r="B632" s="6"/>
      <c r="F632" s="6"/>
      <c r="J632" s="6"/>
      <c r="N632" s="6"/>
    </row>
    <row r="633" spans="2:14" ht="12.75">
      <c r="B633" s="6"/>
      <c r="F633" s="6"/>
      <c r="J633" s="6"/>
      <c r="N633" s="6"/>
    </row>
    <row r="634" spans="2:14" ht="12.75">
      <c r="B634" s="6"/>
      <c r="F634" s="6"/>
      <c r="J634" s="6"/>
      <c r="N634" s="6"/>
    </row>
    <row r="635" spans="2:14" ht="12.75">
      <c r="B635" s="6"/>
      <c r="F635" s="6"/>
      <c r="J635" s="6"/>
      <c r="N635" s="6"/>
    </row>
    <row r="636" spans="2:14" ht="12.75">
      <c r="B636" s="6"/>
      <c r="F636" s="6"/>
      <c r="J636" s="6"/>
      <c r="N636" s="6"/>
    </row>
    <row r="637" spans="2:14" ht="12.75">
      <c r="B637" s="6"/>
      <c r="F637" s="6"/>
      <c r="J637" s="6"/>
      <c r="N637" s="6"/>
    </row>
    <row r="638" spans="2:14" ht="12.75">
      <c r="B638" s="6"/>
      <c r="F638" s="6"/>
      <c r="J638" s="6"/>
      <c r="N638" s="6"/>
    </row>
    <row r="639" spans="2:14" ht="12.75">
      <c r="B639" s="6"/>
      <c r="F639" s="6"/>
      <c r="J639" s="6"/>
      <c r="N639" s="6"/>
    </row>
    <row r="640" spans="2:14" ht="12.75">
      <c r="B640" s="6"/>
      <c r="F640" s="6"/>
      <c r="J640" s="6"/>
      <c r="N640" s="6"/>
    </row>
    <row r="641" spans="2:14" ht="12.75">
      <c r="B641" s="6"/>
      <c r="F641" s="6"/>
      <c r="J641" s="6"/>
      <c r="N641" s="6"/>
    </row>
    <row r="642" spans="2:14" ht="12.75">
      <c r="B642" s="6"/>
      <c r="F642" s="6"/>
      <c r="J642" s="6"/>
      <c r="N642" s="6"/>
    </row>
    <row r="643" spans="2:14" ht="12.75">
      <c r="B643" s="6"/>
      <c r="F643" s="6"/>
      <c r="J643" s="6"/>
      <c r="N643" s="6"/>
    </row>
    <row r="644" spans="2:14" ht="12.75">
      <c r="B644" s="6"/>
      <c r="F644" s="6"/>
      <c r="J644" s="6"/>
      <c r="N644" s="6"/>
    </row>
    <row r="645" spans="2:14" ht="12.75">
      <c r="B645" s="6"/>
      <c r="F645" s="6"/>
      <c r="J645" s="6"/>
      <c r="N645" s="6"/>
    </row>
    <row r="646" spans="2:14" ht="12.75">
      <c r="B646" s="6"/>
      <c r="F646" s="6"/>
      <c r="J646" s="6"/>
      <c r="N646" s="6"/>
    </row>
    <row r="647" spans="2:14" ht="12.75">
      <c r="B647" s="6"/>
      <c r="F647" s="6"/>
      <c r="J647" s="6"/>
      <c r="N647" s="6"/>
    </row>
    <row r="648" spans="2:14" ht="12.75">
      <c r="B648" s="6"/>
      <c r="F648" s="6"/>
      <c r="J648" s="6"/>
      <c r="N648" s="6"/>
    </row>
    <row r="649" spans="2:14" ht="12.75">
      <c r="B649" s="6"/>
      <c r="F649" s="6"/>
      <c r="J649" s="6"/>
      <c r="N649" s="6"/>
    </row>
    <row r="650" spans="2:14" ht="12.75">
      <c r="B650" s="6"/>
      <c r="F650" s="6"/>
      <c r="J650" s="6"/>
      <c r="N650" s="6"/>
    </row>
    <row r="651" spans="2:14" ht="12.75">
      <c r="B651" s="6"/>
      <c r="F651" s="6"/>
      <c r="J651" s="6"/>
      <c r="N651" s="6"/>
    </row>
    <row r="652" spans="2:14" ht="12.75">
      <c r="B652" s="6"/>
      <c r="F652" s="6"/>
      <c r="J652" s="6"/>
      <c r="N652" s="6"/>
    </row>
    <row r="653" spans="2:14" ht="12.75">
      <c r="B653" s="6"/>
      <c r="F653" s="6"/>
      <c r="J653" s="6"/>
      <c r="N653" s="6"/>
    </row>
    <row r="654" spans="2:14" ht="12.75">
      <c r="B654" s="6"/>
      <c r="F654" s="6"/>
      <c r="J654" s="6"/>
      <c r="N654" s="6"/>
    </row>
    <row r="655" spans="2:14" ht="12.75">
      <c r="B655" s="6"/>
      <c r="F655" s="6"/>
      <c r="J655" s="6"/>
      <c r="N655" s="6"/>
    </row>
    <row r="656" spans="2:14" ht="12.75">
      <c r="B656" s="6"/>
      <c r="F656" s="6"/>
      <c r="J656" s="6"/>
      <c r="N656" s="6"/>
    </row>
    <row r="657" spans="2:14" ht="12.75">
      <c r="B657" s="6"/>
      <c r="F657" s="6"/>
      <c r="J657" s="6"/>
      <c r="N657" s="6"/>
    </row>
    <row r="658" spans="2:14" ht="12.75">
      <c r="B658" s="6"/>
      <c r="F658" s="6"/>
      <c r="J658" s="6"/>
      <c r="N658" s="6"/>
    </row>
    <row r="659" spans="2:14" ht="12.75">
      <c r="B659" s="6"/>
      <c r="F659" s="6"/>
      <c r="J659" s="6"/>
      <c r="N659" s="6"/>
    </row>
    <row r="660" spans="2:14" ht="12.75">
      <c r="B660" s="6"/>
      <c r="F660" s="6"/>
      <c r="J660" s="6"/>
      <c r="N660" s="6"/>
    </row>
    <row r="661" spans="2:14" ht="12.75">
      <c r="B661" s="6"/>
      <c r="F661" s="6"/>
      <c r="J661" s="6"/>
      <c r="N661" s="6"/>
    </row>
    <row r="662" spans="2:14" ht="12.75">
      <c r="B662" s="6"/>
      <c r="F662" s="6"/>
      <c r="J662" s="6"/>
      <c r="N662" s="6"/>
    </row>
    <row r="663" spans="2:14" ht="12.75">
      <c r="B663" s="6"/>
      <c r="F663" s="6"/>
      <c r="J663" s="6"/>
      <c r="N663" s="6"/>
    </row>
    <row r="664" spans="2:14" ht="12.75">
      <c r="B664" s="6"/>
      <c r="F664" s="6"/>
      <c r="J664" s="6"/>
      <c r="N664" s="6"/>
    </row>
    <row r="665" spans="2:14" ht="12.75">
      <c r="B665" s="6"/>
      <c r="F665" s="6"/>
      <c r="J665" s="6"/>
      <c r="N665" s="6"/>
    </row>
    <row r="666" spans="2:14" ht="12.75">
      <c r="B666" s="6"/>
      <c r="F666" s="6"/>
      <c r="J666" s="6"/>
      <c r="N666" s="6"/>
    </row>
    <row r="667" spans="2:14" ht="12.75">
      <c r="B667" s="6"/>
      <c r="F667" s="6"/>
      <c r="J667" s="6"/>
      <c r="N667" s="6"/>
    </row>
    <row r="668" spans="2:14" ht="12.75">
      <c r="B668" s="6"/>
      <c r="F668" s="6"/>
      <c r="J668" s="6"/>
      <c r="N668" s="6"/>
    </row>
    <row r="669" spans="2:14" ht="12.75">
      <c r="B669" s="6"/>
      <c r="F669" s="6"/>
      <c r="J669" s="6"/>
      <c r="N669" s="6"/>
    </row>
    <row r="670" spans="2:14" ht="12.75">
      <c r="B670" s="6"/>
      <c r="F670" s="6"/>
      <c r="J670" s="6"/>
      <c r="N670" s="6"/>
    </row>
    <row r="671" spans="2:14" ht="12.75">
      <c r="B671" s="6"/>
      <c r="F671" s="6"/>
      <c r="J671" s="6"/>
      <c r="N671" s="6"/>
    </row>
    <row r="672" spans="2:14" ht="12.75">
      <c r="B672" s="6"/>
      <c r="F672" s="6"/>
      <c r="J672" s="6"/>
      <c r="N672" s="6"/>
    </row>
    <row r="673" spans="2:14" ht="12.75">
      <c r="B673" s="6"/>
      <c r="F673" s="6"/>
      <c r="J673" s="6"/>
      <c r="N673" s="6"/>
    </row>
    <row r="674" spans="2:14" ht="12.75">
      <c r="B674" s="6"/>
      <c r="F674" s="6"/>
      <c r="J674" s="6"/>
      <c r="N674" s="6"/>
    </row>
    <row r="675" spans="2:14" ht="12.75">
      <c r="B675" s="6"/>
      <c r="F675" s="6"/>
      <c r="J675" s="6"/>
      <c r="N675" s="6"/>
    </row>
    <row r="676" spans="2:14" ht="12.75">
      <c r="B676" s="6"/>
      <c r="F676" s="6"/>
      <c r="J676" s="6"/>
      <c r="N676" s="6"/>
    </row>
    <row r="677" spans="2:14" ht="12.75">
      <c r="B677" s="6"/>
      <c r="F677" s="6"/>
      <c r="J677" s="6"/>
      <c r="N677" s="6"/>
    </row>
    <row r="678" spans="2:14" ht="12.75">
      <c r="B678" s="6"/>
      <c r="F678" s="6"/>
      <c r="J678" s="6"/>
      <c r="N678" s="6"/>
    </row>
    <row r="679" spans="2:14" ht="12.75">
      <c r="B679" s="6"/>
      <c r="F679" s="6"/>
      <c r="J679" s="6"/>
      <c r="N679" s="6"/>
    </row>
    <row r="680" spans="2:14" ht="12.75">
      <c r="B680" s="6"/>
      <c r="F680" s="6"/>
      <c r="J680" s="6"/>
      <c r="N680" s="6"/>
    </row>
    <row r="681" spans="2:14" ht="12.75">
      <c r="B681" s="6"/>
      <c r="F681" s="6"/>
      <c r="J681" s="6"/>
      <c r="N681" s="6"/>
    </row>
    <row r="682" spans="2:14" ht="12.75">
      <c r="B682" s="6"/>
      <c r="F682" s="6"/>
      <c r="J682" s="6"/>
      <c r="N682" s="6"/>
    </row>
    <row r="683" spans="2:14" ht="12.75">
      <c r="B683" s="6"/>
      <c r="F683" s="6"/>
      <c r="J683" s="6"/>
      <c r="N683" s="6"/>
    </row>
    <row r="684" spans="2:14" ht="12.75">
      <c r="B684" s="6"/>
      <c r="F684" s="6"/>
      <c r="J684" s="6"/>
      <c r="N684" s="6"/>
    </row>
    <row r="685" spans="2:14" ht="12.75">
      <c r="B685" s="6"/>
      <c r="F685" s="6"/>
      <c r="J685" s="6"/>
      <c r="N685" s="6"/>
    </row>
    <row r="686" spans="2:14" ht="12.75">
      <c r="B686" s="6"/>
      <c r="F686" s="6"/>
      <c r="J686" s="6"/>
      <c r="N686" s="6"/>
    </row>
    <row r="687" spans="2:14" ht="12.75">
      <c r="B687" s="6"/>
      <c r="F687" s="6"/>
      <c r="J687" s="6"/>
      <c r="N687" s="6"/>
    </row>
    <row r="688" spans="2:14" ht="12.75">
      <c r="B688" s="6"/>
      <c r="F688" s="6"/>
      <c r="J688" s="6"/>
      <c r="N688" s="6"/>
    </row>
    <row r="689" spans="2:14" ht="12.75">
      <c r="B689" s="6"/>
      <c r="F689" s="6"/>
      <c r="J689" s="6"/>
      <c r="N689" s="6"/>
    </row>
    <row r="690" spans="2:14" ht="12.75">
      <c r="B690" s="6"/>
      <c r="F690" s="6"/>
      <c r="J690" s="6"/>
      <c r="N690" s="6"/>
    </row>
    <row r="691" spans="2:14" ht="12.75">
      <c r="B691" s="6"/>
      <c r="F691" s="6"/>
      <c r="J691" s="6"/>
      <c r="N691" s="6"/>
    </row>
    <row r="692" spans="2:14" ht="12.75">
      <c r="B692" s="6"/>
      <c r="F692" s="6"/>
      <c r="J692" s="6"/>
      <c r="N692" s="6"/>
    </row>
    <row r="693" spans="2:14" ht="12.75">
      <c r="B693" s="6"/>
      <c r="F693" s="6"/>
      <c r="J693" s="6"/>
      <c r="N693" s="6"/>
    </row>
    <row r="694" spans="2:14" ht="12.75">
      <c r="B694" s="6"/>
      <c r="F694" s="6"/>
      <c r="J694" s="6"/>
      <c r="N694" s="6"/>
    </row>
    <row r="695" spans="2:14" ht="12.75">
      <c r="B695" s="6"/>
      <c r="F695" s="6"/>
      <c r="J695" s="6"/>
      <c r="N695" s="6"/>
    </row>
    <row r="696" spans="2:14" ht="12.75">
      <c r="B696" s="6"/>
      <c r="F696" s="6"/>
      <c r="J696" s="6"/>
      <c r="N696" s="6"/>
    </row>
    <row r="697" spans="2:14" ht="12.75">
      <c r="B697" s="6"/>
      <c r="F697" s="6"/>
      <c r="J697" s="6"/>
      <c r="N697" s="6"/>
    </row>
    <row r="698" spans="2:14" ht="12.75">
      <c r="B698" s="6"/>
      <c r="F698" s="6"/>
      <c r="J698" s="6"/>
      <c r="N698" s="6"/>
    </row>
    <row r="699" spans="2:14" ht="12.75">
      <c r="B699" s="6"/>
      <c r="F699" s="6"/>
      <c r="J699" s="6"/>
      <c r="N699" s="6"/>
    </row>
    <row r="700" spans="2:14" ht="12.75">
      <c r="B700" s="6"/>
      <c r="F700" s="6"/>
      <c r="J700" s="6"/>
      <c r="N700" s="6"/>
    </row>
    <row r="701" spans="2:14" ht="12.75">
      <c r="B701" s="6"/>
      <c r="F701" s="6"/>
      <c r="J701" s="6"/>
      <c r="N701" s="6"/>
    </row>
    <row r="702" spans="2:14" ht="12.75">
      <c r="B702" s="6"/>
      <c r="F702" s="6"/>
      <c r="J702" s="6"/>
      <c r="N702" s="6"/>
    </row>
    <row r="703" spans="2:14" ht="12.75">
      <c r="B703" s="6"/>
      <c r="F703" s="6"/>
      <c r="J703" s="6"/>
      <c r="N703" s="6"/>
    </row>
    <row r="704" spans="2:14" ht="12.75">
      <c r="B704" s="6"/>
      <c r="F704" s="6"/>
      <c r="J704" s="6"/>
      <c r="N704" s="6"/>
    </row>
    <row r="705" spans="2:14" ht="12.75">
      <c r="B705" s="6"/>
      <c r="F705" s="6"/>
      <c r="J705" s="6"/>
      <c r="N705" s="6"/>
    </row>
    <row r="706" spans="2:14" ht="12.75">
      <c r="B706" s="6"/>
      <c r="F706" s="6"/>
      <c r="J706" s="6"/>
      <c r="N706" s="6"/>
    </row>
    <row r="707" spans="2:14" ht="12.75">
      <c r="B707" s="6"/>
      <c r="F707" s="6"/>
      <c r="J707" s="6"/>
      <c r="N707" s="6"/>
    </row>
    <row r="708" spans="2:14" ht="12.75">
      <c r="B708" s="6"/>
      <c r="F708" s="6"/>
      <c r="J708" s="6"/>
      <c r="N708" s="6"/>
    </row>
    <row r="709" spans="2:14" ht="12.75">
      <c r="B709" s="6"/>
      <c r="F709" s="6"/>
      <c r="J709" s="6"/>
      <c r="N709" s="6"/>
    </row>
    <row r="710" spans="2:14" ht="12.75">
      <c r="B710" s="6"/>
      <c r="F710" s="6"/>
      <c r="J710" s="6"/>
      <c r="N710" s="6"/>
    </row>
    <row r="711" spans="2:14" ht="12.75">
      <c r="B711" s="6"/>
      <c r="F711" s="6"/>
      <c r="J711" s="6"/>
      <c r="N711" s="6"/>
    </row>
    <row r="712" spans="2:14" ht="12.75">
      <c r="B712" s="6"/>
      <c r="F712" s="6"/>
      <c r="J712" s="6"/>
      <c r="N712" s="6"/>
    </row>
    <row r="713" spans="2:14" ht="12.75">
      <c r="B713" s="6"/>
      <c r="F713" s="6"/>
      <c r="J713" s="6"/>
      <c r="N713" s="6"/>
    </row>
    <row r="714" spans="2:14" ht="12.75">
      <c r="B714" s="6"/>
      <c r="F714" s="6"/>
      <c r="J714" s="6"/>
      <c r="N714" s="6"/>
    </row>
    <row r="715" spans="2:14" ht="12.75">
      <c r="B715" s="6"/>
      <c r="F715" s="6"/>
      <c r="J715" s="6"/>
      <c r="N715" s="6"/>
    </row>
    <row r="716" spans="2:14" ht="12.75">
      <c r="B716" s="6"/>
      <c r="F716" s="6"/>
      <c r="J716" s="6"/>
      <c r="N716" s="6"/>
    </row>
    <row r="717" spans="2:14" ht="12.75">
      <c r="B717" s="6"/>
      <c r="F717" s="6"/>
      <c r="J717" s="6"/>
      <c r="N717" s="6"/>
    </row>
    <row r="718" spans="2:14" ht="12.75">
      <c r="B718" s="6"/>
      <c r="F718" s="6"/>
      <c r="J718" s="6"/>
      <c r="N718" s="6"/>
    </row>
    <row r="719" spans="2:14" ht="12.75">
      <c r="B719" s="6"/>
      <c r="F719" s="6"/>
      <c r="J719" s="6"/>
      <c r="N719" s="6"/>
    </row>
    <row r="720" spans="2:14" ht="12.75">
      <c r="B720" s="6"/>
      <c r="F720" s="6"/>
      <c r="J720" s="6"/>
      <c r="N720" s="6"/>
    </row>
    <row r="721" spans="2:14" ht="12.75">
      <c r="B721" s="6"/>
      <c r="F721" s="6"/>
      <c r="J721" s="6"/>
      <c r="N721" s="6"/>
    </row>
    <row r="722" spans="2:14" ht="12.75">
      <c r="B722" s="6"/>
      <c r="F722" s="6"/>
      <c r="J722" s="6"/>
      <c r="N722" s="6"/>
    </row>
    <row r="723" spans="2:14" ht="12.75">
      <c r="B723" s="6"/>
      <c r="F723" s="6"/>
      <c r="J723" s="6"/>
      <c r="N723" s="6"/>
    </row>
    <row r="724" spans="2:14" ht="12.75">
      <c r="B724" s="6"/>
      <c r="F724" s="6"/>
      <c r="J724" s="6"/>
      <c r="N724" s="6"/>
    </row>
    <row r="725" spans="2:14" ht="12.75">
      <c r="B725" s="6"/>
      <c r="F725" s="6"/>
      <c r="J725" s="6"/>
      <c r="N725" s="6"/>
    </row>
    <row r="726" spans="2:14" ht="12.75">
      <c r="B726" s="6"/>
      <c r="F726" s="6"/>
      <c r="J726" s="6"/>
      <c r="N726" s="6"/>
    </row>
    <row r="727" spans="2:14" ht="12.75">
      <c r="B727" s="6"/>
      <c r="F727" s="6"/>
      <c r="J727" s="6"/>
      <c r="N727" s="6"/>
    </row>
    <row r="728" spans="2:14" ht="12.75">
      <c r="B728" s="6"/>
      <c r="F728" s="6"/>
      <c r="J728" s="6"/>
      <c r="N728" s="6"/>
    </row>
    <row r="729" spans="2:14" ht="12.75">
      <c r="B729" s="6"/>
      <c r="F729" s="6"/>
      <c r="J729" s="6"/>
      <c r="N729" s="6"/>
    </row>
    <row r="730" spans="2:14" ht="12.75">
      <c r="B730" s="6"/>
      <c r="F730" s="6"/>
      <c r="J730" s="6"/>
      <c r="N730" s="6"/>
    </row>
    <row r="731" spans="2:14" ht="12.75">
      <c r="B731" s="6"/>
      <c r="F731" s="6"/>
      <c r="J731" s="6"/>
      <c r="N731" s="6"/>
    </row>
    <row r="732" spans="2:14" ht="12.75">
      <c r="B732" s="6"/>
      <c r="F732" s="6"/>
      <c r="J732" s="6"/>
      <c r="N732" s="6"/>
    </row>
    <row r="733" spans="2:14" ht="12.75">
      <c r="B733" s="6"/>
      <c r="F733" s="6"/>
      <c r="J733" s="6"/>
      <c r="N733" s="6"/>
    </row>
    <row r="734" spans="2:14" ht="12.75">
      <c r="B734" s="6"/>
      <c r="F734" s="6"/>
      <c r="J734" s="6"/>
      <c r="N734" s="6"/>
    </row>
    <row r="735" spans="2:14" ht="12.75">
      <c r="B735" s="6"/>
      <c r="F735" s="6"/>
      <c r="J735" s="6"/>
      <c r="N735" s="6"/>
    </row>
    <row r="736" spans="2:14" ht="12.75">
      <c r="B736" s="6"/>
      <c r="F736" s="6"/>
      <c r="J736" s="6"/>
      <c r="N736" s="6"/>
    </row>
    <row r="737" spans="2:14" ht="12.75">
      <c r="B737" s="6"/>
      <c r="F737" s="6"/>
      <c r="J737" s="6"/>
      <c r="N737" s="6"/>
    </row>
    <row r="738" spans="2:14" ht="12.75">
      <c r="B738" s="6"/>
      <c r="F738" s="6"/>
      <c r="J738" s="6"/>
      <c r="N738" s="6"/>
    </row>
    <row r="739" spans="2:14" ht="12.75">
      <c r="B739" s="6"/>
      <c r="F739" s="6"/>
      <c r="J739" s="6"/>
      <c r="N739" s="6"/>
    </row>
    <row r="740" spans="2:14" ht="12.75">
      <c r="B740" s="6"/>
      <c r="F740" s="6"/>
      <c r="J740" s="6"/>
      <c r="N740" s="6"/>
    </row>
    <row r="741" spans="2:14" ht="12.75">
      <c r="B741" s="6"/>
      <c r="F741" s="6"/>
      <c r="J741" s="6"/>
      <c r="N741" s="6"/>
    </row>
    <row r="742" spans="2:14" ht="12.75">
      <c r="B742" s="6"/>
      <c r="F742" s="6"/>
      <c r="J742" s="6"/>
      <c r="N742" s="6"/>
    </row>
    <row r="743" spans="2:14" ht="12.75">
      <c r="B743" s="6"/>
      <c r="F743" s="6"/>
      <c r="J743" s="6"/>
      <c r="N743" s="6"/>
    </row>
    <row r="744" spans="2:14" ht="12.75">
      <c r="B744" s="6"/>
      <c r="F744" s="6"/>
      <c r="J744" s="6"/>
      <c r="N744" s="6"/>
    </row>
    <row r="745" spans="2:14" ht="12.75">
      <c r="B745" s="6"/>
      <c r="F745" s="6"/>
      <c r="J745" s="6"/>
      <c r="N745" s="6"/>
    </row>
    <row r="746" spans="2:14" ht="12.75">
      <c r="B746" s="6"/>
      <c r="F746" s="6"/>
      <c r="J746" s="6"/>
      <c r="N746" s="6"/>
    </row>
    <row r="747" spans="2:14" ht="12.75">
      <c r="B747" s="6"/>
      <c r="F747" s="6"/>
      <c r="J747" s="6"/>
      <c r="N747" s="6"/>
    </row>
    <row r="748" spans="2:14" ht="12.75">
      <c r="B748" s="6"/>
      <c r="F748" s="6"/>
      <c r="J748" s="6"/>
      <c r="N748" s="6"/>
    </row>
    <row r="749" spans="2:14" ht="12.75">
      <c r="B749" s="6"/>
      <c r="F749" s="6"/>
      <c r="J749" s="6"/>
      <c r="N749" s="6"/>
    </row>
    <row r="750" spans="2:14" ht="12.75">
      <c r="B750" s="6"/>
      <c r="F750" s="6"/>
      <c r="J750" s="6"/>
      <c r="N750" s="6"/>
    </row>
    <row r="751" spans="2:14" ht="12.75">
      <c r="B751" s="6"/>
      <c r="F751" s="6"/>
      <c r="J751" s="6"/>
      <c r="N751" s="6"/>
    </row>
    <row r="752" spans="2:14" ht="12.75">
      <c r="B752" s="6"/>
      <c r="F752" s="6"/>
      <c r="J752" s="6"/>
      <c r="N752" s="6"/>
    </row>
    <row r="753" spans="2:14" ht="12.75">
      <c r="B753" s="6"/>
      <c r="F753" s="6"/>
      <c r="J753" s="6"/>
      <c r="N753" s="6"/>
    </row>
    <row r="754" spans="2:14" ht="12.75">
      <c r="B754" s="6"/>
      <c r="F754" s="6"/>
      <c r="J754" s="6"/>
      <c r="N754" s="6"/>
    </row>
    <row r="755" spans="2:14" ht="12.75">
      <c r="B755" s="6"/>
      <c r="F755" s="6"/>
      <c r="J755" s="6"/>
      <c r="N755" s="6"/>
    </row>
    <row r="756" spans="2:14" ht="12.75">
      <c r="B756" s="6"/>
      <c r="F756" s="6"/>
      <c r="J756" s="6"/>
      <c r="N756" s="6"/>
    </row>
    <row r="757" spans="2:14" ht="12.75">
      <c r="B757" s="6"/>
      <c r="F757" s="6"/>
      <c r="J757" s="6"/>
      <c r="N757" s="6"/>
    </row>
    <row r="758" spans="2:14" ht="12.75">
      <c r="B758" s="6"/>
      <c r="F758" s="6"/>
      <c r="J758" s="6"/>
      <c r="N758" s="6"/>
    </row>
    <row r="759" spans="2:14" ht="12.75">
      <c r="B759" s="6"/>
      <c r="F759" s="6"/>
      <c r="J759" s="6"/>
      <c r="N759" s="6"/>
    </row>
    <row r="760" spans="2:14" ht="12.75">
      <c r="B760" s="6"/>
      <c r="F760" s="6"/>
      <c r="J760" s="6"/>
      <c r="N760" s="6"/>
    </row>
    <row r="761" spans="2:14" ht="12.75">
      <c r="B761" s="6"/>
      <c r="F761" s="6"/>
      <c r="J761" s="6"/>
      <c r="N761" s="6"/>
    </row>
    <row r="762" spans="2:14" ht="12.75">
      <c r="B762" s="6"/>
      <c r="F762" s="6"/>
      <c r="J762" s="6"/>
      <c r="N762" s="6"/>
    </row>
    <row r="763" spans="2:14" ht="12.75">
      <c r="B763" s="6"/>
      <c r="F763" s="6"/>
      <c r="J763" s="6"/>
      <c r="N763" s="6"/>
    </row>
    <row r="764" spans="2:14" ht="12.75">
      <c r="B764" s="6"/>
      <c r="F764" s="6"/>
      <c r="J764" s="6"/>
      <c r="N764" s="6"/>
    </row>
    <row r="765" spans="2:14" ht="12.75">
      <c r="B765" s="6"/>
      <c r="F765" s="6"/>
      <c r="J765" s="6"/>
      <c r="N765" s="6"/>
    </row>
    <row r="766" spans="2:14" ht="12.75">
      <c r="B766" s="6"/>
      <c r="F766" s="6"/>
      <c r="J766" s="6"/>
      <c r="N766" s="6"/>
    </row>
    <row r="767" spans="2:14" ht="12.75">
      <c r="B767" s="6"/>
      <c r="F767" s="6"/>
      <c r="J767" s="6"/>
      <c r="N767" s="6"/>
    </row>
    <row r="768" spans="2:14" ht="12.75">
      <c r="B768" s="6"/>
      <c r="F768" s="6"/>
      <c r="J768" s="6"/>
      <c r="N768" s="6"/>
    </row>
    <row r="769" spans="2:14" ht="12.75">
      <c r="B769" s="6"/>
      <c r="F769" s="6"/>
      <c r="J769" s="6"/>
      <c r="N769" s="6"/>
    </row>
    <row r="770" spans="2:14" ht="12.75">
      <c r="B770" s="6"/>
      <c r="F770" s="6"/>
      <c r="J770" s="6"/>
      <c r="N770" s="6"/>
    </row>
    <row r="771" spans="2:14" ht="12.75">
      <c r="B771" s="6"/>
      <c r="F771" s="6"/>
      <c r="J771" s="6"/>
      <c r="N771" s="6"/>
    </row>
    <row r="772" spans="2:14" ht="12.75">
      <c r="B772" s="6"/>
      <c r="F772" s="6"/>
      <c r="J772" s="6"/>
      <c r="N772" s="6"/>
    </row>
    <row r="773" spans="2:14" ht="12.75">
      <c r="B773" s="6"/>
      <c r="F773" s="6"/>
      <c r="J773" s="6"/>
      <c r="N773" s="6"/>
    </row>
    <row r="774" spans="2:14" ht="12.75">
      <c r="B774" s="6"/>
      <c r="F774" s="6"/>
      <c r="J774" s="6"/>
      <c r="N774" s="6"/>
    </row>
    <row r="775" spans="2:14" ht="12.75">
      <c r="B775" s="6"/>
      <c r="F775" s="6"/>
      <c r="J775" s="6"/>
      <c r="N775" s="6"/>
    </row>
    <row r="776" spans="2:14" ht="12.75">
      <c r="B776" s="6"/>
      <c r="F776" s="6"/>
      <c r="J776" s="6"/>
      <c r="N776" s="6"/>
    </row>
    <row r="777" spans="2:14" ht="12.75">
      <c r="B777" s="6"/>
      <c r="F777" s="6"/>
      <c r="J777" s="6"/>
      <c r="N777" s="6"/>
    </row>
    <row r="778" spans="2:14" ht="12.75">
      <c r="B778" s="6"/>
      <c r="F778" s="6"/>
      <c r="J778" s="6"/>
      <c r="N778" s="6"/>
    </row>
    <row r="779" spans="2:14" ht="12.75">
      <c r="B779" s="6"/>
      <c r="F779" s="6"/>
      <c r="J779" s="6"/>
      <c r="N779" s="6"/>
    </row>
    <row r="780" spans="2:14" ht="12.75">
      <c r="B780" s="6"/>
      <c r="F780" s="6"/>
      <c r="J780" s="6"/>
      <c r="N780" s="6"/>
    </row>
    <row r="781" spans="2:14" ht="12.75">
      <c r="B781" s="6"/>
      <c r="F781" s="6"/>
      <c r="J781" s="6"/>
      <c r="N781" s="6"/>
    </row>
    <row r="782" spans="2:14" ht="12.75">
      <c r="B782" s="6"/>
      <c r="F782" s="6"/>
      <c r="J782" s="6"/>
      <c r="N782" s="6"/>
    </row>
    <row r="783" spans="2:14" ht="12.75">
      <c r="B783" s="6"/>
      <c r="F783" s="6"/>
      <c r="J783" s="6"/>
      <c r="N783" s="6"/>
    </row>
    <row r="784" spans="2:14" ht="12.75">
      <c r="B784" s="6"/>
      <c r="F784" s="6"/>
      <c r="J784" s="6"/>
      <c r="N784" s="6"/>
    </row>
    <row r="785" spans="2:14" ht="12.75">
      <c r="B785" s="6"/>
      <c r="F785" s="6"/>
      <c r="J785" s="6"/>
      <c r="N785" s="6"/>
    </row>
    <row r="786" spans="2:14" ht="12.75">
      <c r="B786" s="6"/>
      <c r="F786" s="6"/>
      <c r="J786" s="6"/>
      <c r="N786" s="6"/>
    </row>
    <row r="787" spans="2:14" ht="12.75">
      <c r="B787" s="6"/>
      <c r="F787" s="6"/>
      <c r="J787" s="6"/>
      <c r="N787" s="6"/>
    </row>
    <row r="788" spans="2:14" ht="12.75">
      <c r="B788" s="6"/>
      <c r="F788" s="6"/>
      <c r="J788" s="6"/>
      <c r="N788" s="6"/>
    </row>
    <row r="789" spans="2:14" ht="12.75">
      <c r="B789" s="6"/>
      <c r="F789" s="6"/>
      <c r="J789" s="6"/>
      <c r="N789" s="6"/>
    </row>
    <row r="790" spans="2:14" ht="12.75">
      <c r="B790" s="6"/>
      <c r="F790" s="6"/>
      <c r="J790" s="6"/>
      <c r="N790" s="6"/>
    </row>
    <row r="791" spans="2:14" ht="12.75">
      <c r="B791" s="6"/>
      <c r="F791" s="6"/>
      <c r="J791" s="6"/>
      <c r="N791" s="6"/>
    </row>
    <row r="792" spans="2:14" ht="12.75">
      <c r="B792" s="6"/>
      <c r="F792" s="6"/>
      <c r="J792" s="6"/>
      <c r="N792" s="6"/>
    </row>
    <row r="793" spans="2:14" ht="12.75">
      <c r="B793" s="6"/>
      <c r="F793" s="6"/>
      <c r="J793" s="6"/>
      <c r="N793" s="6"/>
    </row>
    <row r="794" spans="2:14" ht="12.75">
      <c r="B794" s="6"/>
      <c r="F794" s="6"/>
      <c r="J794" s="6"/>
      <c r="N794" s="6"/>
    </row>
    <row r="795" spans="2:14" ht="12.75">
      <c r="B795" s="6"/>
      <c r="F795" s="6"/>
      <c r="J795" s="6"/>
      <c r="N795" s="6"/>
    </row>
    <row r="796" spans="2:14" ht="12.75">
      <c r="B796" s="6"/>
      <c r="F796" s="6"/>
      <c r="J796" s="6"/>
      <c r="N796" s="6"/>
    </row>
    <row r="797" spans="2:14" ht="12.75">
      <c r="B797" s="6"/>
      <c r="F797" s="6"/>
      <c r="J797" s="6"/>
      <c r="N797" s="6"/>
    </row>
    <row r="798" spans="2:14" ht="12.75">
      <c r="B798" s="6"/>
      <c r="F798" s="6"/>
      <c r="J798" s="6"/>
      <c r="N798" s="6"/>
    </row>
    <row r="799" spans="2:14" ht="12.75">
      <c r="B799" s="6"/>
      <c r="F799" s="6"/>
      <c r="J799" s="6"/>
      <c r="N799" s="6"/>
    </row>
    <row r="800" spans="2:14" ht="12.75">
      <c r="B800" s="6"/>
      <c r="F800" s="6"/>
      <c r="J800" s="6"/>
      <c r="N800" s="6"/>
    </row>
  </sheetData>
  <mergeCells count="21">
    <mergeCell ref="A6:C6"/>
    <mergeCell ref="A5:C5"/>
    <mergeCell ref="A4:C4"/>
    <mergeCell ref="A15:C15"/>
    <mergeCell ref="A14:C14"/>
    <mergeCell ref="A13:C13"/>
    <mergeCell ref="A7:C7"/>
    <mergeCell ref="A11:C11"/>
    <mergeCell ref="A12:C12"/>
    <mergeCell ref="A10:C10"/>
    <mergeCell ref="A22:C22"/>
    <mergeCell ref="A23:C23"/>
    <mergeCell ref="A24:C24"/>
    <mergeCell ref="A16:C16"/>
    <mergeCell ref="A8:C8"/>
    <mergeCell ref="A9:C9"/>
    <mergeCell ref="A17:C17"/>
    <mergeCell ref="A18:C18"/>
    <mergeCell ref="A20:C20"/>
    <mergeCell ref="A19:C19"/>
    <mergeCell ref="A21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</sheetPr>
  <dimension ref="A1:M47"/>
  <sheetViews>
    <sheetView showGridLines="0" topLeftCell="F1" workbookViewId="0">
      <selection activeCell="J15" sqref="J15"/>
    </sheetView>
  </sheetViews>
  <sheetFormatPr baseColWidth="10" defaultColWidth="14.42578125" defaultRowHeight="15.75" customHeight="1"/>
  <sheetData>
    <row r="1" spans="1:13" ht="14.25" customHeight="1">
      <c r="A1" s="76"/>
      <c r="B1" s="76"/>
      <c r="C1" s="76"/>
      <c r="D1" s="76"/>
      <c r="E1" s="76"/>
      <c r="F1" s="77"/>
      <c r="G1" s="78"/>
      <c r="H1" s="76"/>
      <c r="I1" s="76"/>
      <c r="J1" s="77"/>
      <c r="K1" s="78"/>
      <c r="L1" s="78"/>
      <c r="M1" s="76"/>
    </row>
    <row r="2" spans="1:13" ht="27.75" customHeight="1">
      <c r="A2" s="79" t="s">
        <v>123</v>
      </c>
      <c r="B2" s="76"/>
      <c r="C2" s="76"/>
      <c r="D2" s="76"/>
      <c r="E2" s="76"/>
      <c r="F2" s="77"/>
      <c r="G2" s="78"/>
      <c r="H2" s="76"/>
      <c r="I2" s="76"/>
      <c r="J2" s="77"/>
      <c r="K2" s="78"/>
      <c r="L2" s="78"/>
      <c r="M2" s="76"/>
    </row>
    <row r="3" spans="1:13" ht="15.7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>
      <c r="A4" s="80"/>
      <c r="B4" s="81"/>
      <c r="C4" s="83" t="s">
        <v>124</v>
      </c>
      <c r="D4" s="84"/>
      <c r="E4" s="84"/>
      <c r="F4" s="84"/>
      <c r="G4" s="84"/>
      <c r="H4" s="84"/>
      <c r="I4" s="84"/>
      <c r="J4" s="85"/>
      <c r="K4" s="85"/>
      <c r="L4" s="86"/>
      <c r="M4" s="80"/>
    </row>
    <row r="5" spans="1:13" ht="15.75" customHeight="1">
      <c r="A5" s="80"/>
      <c r="B5" s="87"/>
      <c r="C5" s="88" t="s">
        <v>125</v>
      </c>
      <c r="D5" s="89"/>
      <c r="E5" s="89"/>
      <c r="F5" s="89"/>
      <c r="G5" s="88" t="s">
        <v>126</v>
      </c>
      <c r="H5" s="89"/>
      <c r="I5" s="89"/>
      <c r="L5" s="92"/>
      <c r="M5" s="80"/>
    </row>
    <row r="6" spans="1:13" ht="15.75" customHeight="1">
      <c r="A6" s="80"/>
      <c r="B6" s="87"/>
      <c r="C6" s="88" t="s">
        <v>127</v>
      </c>
      <c r="D6" s="89"/>
      <c r="E6" s="89"/>
      <c r="F6" s="89"/>
      <c r="G6" s="93" t="s">
        <v>10</v>
      </c>
      <c r="H6" s="93" t="s">
        <v>8</v>
      </c>
      <c r="I6" s="93" t="s">
        <v>9</v>
      </c>
      <c r="J6" s="94" t="s">
        <v>128</v>
      </c>
      <c r="K6" s="95" t="s">
        <v>129</v>
      </c>
      <c r="L6" s="96"/>
      <c r="M6" s="80"/>
    </row>
    <row r="7" spans="1:13" ht="15.75" customHeight="1">
      <c r="A7" s="80"/>
      <c r="B7" s="87"/>
      <c r="C7" s="97" t="s">
        <v>15</v>
      </c>
      <c r="D7" s="98" t="s">
        <v>130</v>
      </c>
      <c r="E7" s="99"/>
      <c r="F7" s="100">
        <v>1</v>
      </c>
      <c r="G7" s="101">
        <v>76.7</v>
      </c>
      <c r="H7" s="101">
        <v>0</v>
      </c>
      <c r="I7" s="101">
        <v>0</v>
      </c>
      <c r="J7" s="102">
        <f t="shared" ref="J7:J27" si="0">H7</f>
        <v>0</v>
      </c>
      <c r="K7" s="103">
        <v>0</v>
      </c>
      <c r="L7" s="96"/>
      <c r="M7" s="80"/>
    </row>
    <row r="8" spans="1:13" ht="15.75" customHeight="1">
      <c r="A8" s="80"/>
      <c r="B8" s="87"/>
      <c r="C8" s="97" t="s">
        <v>16</v>
      </c>
      <c r="D8" s="98" t="s">
        <v>58</v>
      </c>
      <c r="E8" s="104"/>
      <c r="F8" s="100">
        <v>2</v>
      </c>
      <c r="G8" s="101">
        <v>75.8</v>
      </c>
      <c r="H8" s="101">
        <v>1.4800000000000001E-2</v>
      </c>
      <c r="I8" s="101">
        <v>4.1200000000000001E-2</v>
      </c>
      <c r="J8" s="102">
        <f t="shared" si="0"/>
        <v>1.4800000000000001E-2</v>
      </c>
      <c r="K8" s="103">
        <v>0.05</v>
      </c>
      <c r="L8" s="96"/>
      <c r="M8" s="80"/>
    </row>
    <row r="9" spans="1:13" ht="15.75" customHeight="1">
      <c r="A9" s="80"/>
      <c r="B9" s="87"/>
      <c r="C9" s="89"/>
      <c r="D9" s="89"/>
      <c r="E9" s="89"/>
      <c r="F9" s="100">
        <v>3</v>
      </c>
      <c r="G9" s="101">
        <v>74.900000000000006</v>
      </c>
      <c r="H9" s="101">
        <v>2.9600000000000001E-2</v>
      </c>
      <c r="I9" s="101">
        <v>8.2299999999999998E-2</v>
      </c>
      <c r="J9" s="102">
        <f t="shared" si="0"/>
        <v>2.9600000000000001E-2</v>
      </c>
      <c r="K9" s="103">
        <v>0.1</v>
      </c>
      <c r="L9" s="96"/>
      <c r="M9" s="80"/>
    </row>
    <row r="10" spans="1:13" ht="15.75" customHeight="1">
      <c r="A10" s="80"/>
      <c r="B10" s="87"/>
      <c r="C10" s="89"/>
      <c r="D10" s="89"/>
      <c r="E10" s="89"/>
      <c r="F10" s="100">
        <v>4</v>
      </c>
      <c r="G10" s="101">
        <v>74</v>
      </c>
      <c r="H10" s="101">
        <v>4.5600000000000002E-2</v>
      </c>
      <c r="I10" s="101">
        <v>0.11890000000000001</v>
      </c>
      <c r="J10" s="102">
        <f t="shared" si="0"/>
        <v>4.5600000000000002E-2</v>
      </c>
      <c r="K10" s="103">
        <v>0.15</v>
      </c>
      <c r="L10" s="96"/>
      <c r="M10" s="80"/>
    </row>
    <row r="11" spans="1:13" ht="15.75" customHeight="1">
      <c r="A11" s="80"/>
      <c r="B11" s="87"/>
      <c r="C11" s="89"/>
      <c r="D11" s="89"/>
      <c r="E11" s="89"/>
      <c r="F11" s="100">
        <v>5</v>
      </c>
      <c r="G11" s="101">
        <v>73.099999999999994</v>
      </c>
      <c r="H11" s="101">
        <v>6.1499999999999999E-2</v>
      </c>
      <c r="I11" s="101">
        <v>0.1555</v>
      </c>
      <c r="J11" s="102">
        <f t="shared" si="0"/>
        <v>6.1499999999999999E-2</v>
      </c>
      <c r="K11" s="103">
        <v>0.2</v>
      </c>
      <c r="L11" s="96"/>
      <c r="M11" s="80"/>
    </row>
    <row r="12" spans="1:13" ht="15.75" customHeight="1">
      <c r="A12" s="80"/>
      <c r="B12" s="87"/>
      <c r="C12" s="89"/>
      <c r="D12" s="89"/>
      <c r="E12" s="89"/>
      <c r="F12" s="100">
        <v>6</v>
      </c>
      <c r="G12" s="101">
        <v>71.7</v>
      </c>
      <c r="H12" s="101">
        <v>8.6099999999999996E-2</v>
      </c>
      <c r="I12" s="101">
        <v>0.21079999999999999</v>
      </c>
      <c r="J12" s="102">
        <f t="shared" si="0"/>
        <v>8.6099999999999996E-2</v>
      </c>
      <c r="K12" s="103">
        <v>0.25</v>
      </c>
      <c r="L12" s="96"/>
      <c r="M12" s="80"/>
    </row>
    <row r="13" spans="1:13" ht="15.75" customHeight="1">
      <c r="A13" s="80"/>
      <c r="B13" s="87"/>
      <c r="C13" s="89"/>
      <c r="D13" s="89"/>
      <c r="E13" s="89"/>
      <c r="F13" s="100">
        <v>7</v>
      </c>
      <c r="G13" s="101">
        <v>70.3</v>
      </c>
      <c r="H13" s="101">
        <v>0.1106</v>
      </c>
      <c r="I13" s="101">
        <v>0.26600000000000001</v>
      </c>
      <c r="J13" s="102">
        <f t="shared" si="0"/>
        <v>0.1106</v>
      </c>
      <c r="K13" s="103">
        <v>0.3</v>
      </c>
      <c r="L13" s="96"/>
      <c r="M13" s="80"/>
    </row>
    <row r="14" spans="1:13" ht="15.75" customHeight="1">
      <c r="A14" s="80"/>
      <c r="B14" s="87"/>
      <c r="C14" s="89"/>
      <c r="D14" s="89"/>
      <c r="E14" s="89"/>
      <c r="F14" s="100">
        <v>8</v>
      </c>
      <c r="G14" s="101">
        <v>68.599999999999994</v>
      </c>
      <c r="H14" s="101">
        <v>0.14349999999999999</v>
      </c>
      <c r="I14" s="101">
        <v>0.33250000000000002</v>
      </c>
      <c r="J14" s="102">
        <f t="shared" si="0"/>
        <v>0.14349999999999999</v>
      </c>
      <c r="K14" s="103">
        <v>0.35</v>
      </c>
      <c r="L14" s="96"/>
      <c r="M14" s="80"/>
    </row>
    <row r="15" spans="1:13" ht="15.75" customHeight="1">
      <c r="A15" s="80"/>
      <c r="B15" s="87"/>
      <c r="C15" s="89"/>
      <c r="D15" s="89"/>
      <c r="E15" s="89"/>
      <c r="F15" s="100">
        <v>9</v>
      </c>
      <c r="G15" s="101">
        <v>66.2</v>
      </c>
      <c r="H15" s="101">
        <v>0.20100000000000001</v>
      </c>
      <c r="I15" s="101">
        <v>0.4138</v>
      </c>
      <c r="J15" s="102">
        <f t="shared" si="0"/>
        <v>0.20100000000000001</v>
      </c>
      <c r="K15" s="103">
        <v>0.4</v>
      </c>
      <c r="L15" s="96"/>
      <c r="M15" s="80"/>
    </row>
    <row r="16" spans="1:13" ht="15.75" customHeight="1">
      <c r="A16" s="80"/>
      <c r="B16" s="87"/>
      <c r="C16" s="89"/>
      <c r="D16" s="89"/>
      <c r="E16" s="89"/>
      <c r="F16" s="100">
        <v>10</v>
      </c>
      <c r="G16" s="101">
        <v>63.8</v>
      </c>
      <c r="H16" s="101">
        <v>0.25850000000000001</v>
      </c>
      <c r="I16" s="101">
        <v>0.495</v>
      </c>
      <c r="J16" s="102">
        <f t="shared" si="0"/>
        <v>0.25850000000000001</v>
      </c>
      <c r="K16" s="103">
        <v>0.45</v>
      </c>
      <c r="L16" s="96"/>
      <c r="M16" s="80"/>
    </row>
    <row r="17" spans="1:13" ht="15.75" customHeight="1">
      <c r="A17" s="80"/>
      <c r="B17" s="87"/>
      <c r="C17" s="89"/>
      <c r="D17" s="89"/>
      <c r="E17" s="89"/>
      <c r="F17" s="100">
        <v>11</v>
      </c>
      <c r="G17" s="101">
        <v>59.3</v>
      </c>
      <c r="H17" s="101">
        <v>0.39079999999999998</v>
      </c>
      <c r="I17" s="101">
        <v>0.63400000000000001</v>
      </c>
      <c r="J17" s="102">
        <f t="shared" si="0"/>
        <v>0.39079999999999998</v>
      </c>
      <c r="K17" s="103">
        <v>0.5</v>
      </c>
      <c r="L17" s="96"/>
      <c r="M17" s="80"/>
    </row>
    <row r="18" spans="1:13" ht="15.75" customHeight="1">
      <c r="A18" s="80"/>
      <c r="B18" s="87"/>
      <c r="C18" s="89"/>
      <c r="D18" s="89"/>
      <c r="E18" s="89"/>
      <c r="F18" s="100">
        <v>12</v>
      </c>
      <c r="G18" s="101">
        <v>57.3</v>
      </c>
      <c r="H18" s="101">
        <v>0.46129999999999999</v>
      </c>
      <c r="I18" s="101">
        <v>0.6905</v>
      </c>
      <c r="J18" s="102">
        <f t="shared" si="0"/>
        <v>0.46129999999999999</v>
      </c>
      <c r="K18" s="103">
        <v>0.55000000000000004</v>
      </c>
      <c r="L18" s="96"/>
      <c r="M18" s="80"/>
    </row>
    <row r="19" spans="1:13" ht="15.75" customHeight="1">
      <c r="A19" s="80"/>
      <c r="B19" s="87"/>
      <c r="C19" s="89"/>
      <c r="D19" s="89"/>
      <c r="E19" s="89"/>
      <c r="F19" s="100">
        <v>13</v>
      </c>
      <c r="G19" s="101">
        <v>55.3</v>
      </c>
      <c r="H19" s="101">
        <v>0.53180000000000005</v>
      </c>
      <c r="I19" s="101">
        <v>0.747</v>
      </c>
      <c r="J19" s="102">
        <f t="shared" si="0"/>
        <v>0.53180000000000005</v>
      </c>
      <c r="K19" s="103">
        <v>0.6</v>
      </c>
      <c r="L19" s="96"/>
      <c r="M19" s="80"/>
    </row>
    <row r="20" spans="1:13" ht="15.75" customHeight="1">
      <c r="A20" s="80"/>
      <c r="B20" s="87"/>
      <c r="C20" s="89"/>
      <c r="D20" s="89"/>
      <c r="E20" s="89"/>
      <c r="F20" s="100">
        <v>14</v>
      </c>
      <c r="G20" s="101">
        <v>53.8</v>
      </c>
      <c r="H20" s="101">
        <v>0.59740000000000004</v>
      </c>
      <c r="I20" s="101">
        <v>0.78800000000000003</v>
      </c>
      <c r="J20" s="102">
        <f t="shared" si="0"/>
        <v>0.59740000000000004</v>
      </c>
      <c r="K20" s="103">
        <v>0.65</v>
      </c>
      <c r="L20" s="96"/>
      <c r="M20" s="80"/>
    </row>
    <row r="21" spans="1:13" ht="15.75" customHeight="1">
      <c r="A21" s="80"/>
      <c r="B21" s="87"/>
      <c r="C21" s="89"/>
      <c r="D21" s="89"/>
      <c r="E21" s="89"/>
      <c r="F21" s="100">
        <v>15</v>
      </c>
      <c r="G21" s="101">
        <v>52.3</v>
      </c>
      <c r="H21" s="101">
        <v>0.66300000000000003</v>
      </c>
      <c r="I21" s="101">
        <v>0.82899999999999996</v>
      </c>
      <c r="J21" s="102">
        <f t="shared" si="0"/>
        <v>0.66300000000000003</v>
      </c>
      <c r="K21" s="103">
        <v>0.7</v>
      </c>
      <c r="L21" s="96"/>
      <c r="M21" s="80"/>
    </row>
    <row r="22" spans="1:13" ht="15.75" customHeight="1">
      <c r="A22" s="80"/>
      <c r="B22" s="87"/>
      <c r="C22" s="89"/>
      <c r="D22" s="89"/>
      <c r="E22" s="89"/>
      <c r="F22" s="100">
        <v>16</v>
      </c>
      <c r="G22" s="101">
        <v>51.35</v>
      </c>
      <c r="H22" s="101">
        <v>0.71020000000000005</v>
      </c>
      <c r="I22" s="101">
        <v>0.85350000000000004</v>
      </c>
      <c r="J22" s="102">
        <f t="shared" si="0"/>
        <v>0.71020000000000005</v>
      </c>
      <c r="K22" s="103">
        <v>0.75</v>
      </c>
      <c r="L22" s="96"/>
      <c r="M22" s="80"/>
    </row>
    <row r="23" spans="1:13" ht="15.75" customHeight="1">
      <c r="A23" s="80"/>
      <c r="B23" s="87"/>
      <c r="C23" s="89"/>
      <c r="D23" s="89"/>
      <c r="E23" s="89"/>
      <c r="F23" s="100">
        <v>17</v>
      </c>
      <c r="G23" s="101">
        <v>50.4</v>
      </c>
      <c r="H23" s="101">
        <v>0.75739999999999996</v>
      </c>
      <c r="I23" s="101">
        <v>0.878</v>
      </c>
      <c r="J23" s="102">
        <f t="shared" si="0"/>
        <v>0.75739999999999996</v>
      </c>
      <c r="K23" s="103">
        <v>0.8</v>
      </c>
      <c r="L23" s="96"/>
      <c r="M23" s="80"/>
    </row>
    <row r="24" spans="1:13" ht="15.75" customHeight="1">
      <c r="A24" s="80"/>
      <c r="B24" s="87"/>
      <c r="C24" s="88"/>
      <c r="D24" s="89"/>
      <c r="E24" s="88" t="s">
        <v>132</v>
      </c>
      <c r="F24" s="100">
        <v>18</v>
      </c>
      <c r="G24" s="101">
        <v>49.36</v>
      </c>
      <c r="H24" s="101">
        <v>0.80889999999999995</v>
      </c>
      <c r="I24" s="101">
        <v>0.90500000000000003</v>
      </c>
      <c r="J24" s="102">
        <f t="shared" si="0"/>
        <v>0.80889999999999995</v>
      </c>
      <c r="K24" s="103">
        <v>0.85</v>
      </c>
      <c r="L24" s="96"/>
      <c r="M24" s="80"/>
    </row>
    <row r="25" spans="1:13" ht="12.75">
      <c r="A25" s="80"/>
      <c r="B25" s="87"/>
      <c r="C25" s="89"/>
      <c r="D25" s="89"/>
      <c r="E25" s="89"/>
      <c r="F25" s="100">
        <v>19</v>
      </c>
      <c r="G25" s="101">
        <v>48.5</v>
      </c>
      <c r="H25" s="101">
        <v>0.86040000000000005</v>
      </c>
      <c r="I25" s="101">
        <v>0.93200000000000005</v>
      </c>
      <c r="J25" s="102">
        <f t="shared" si="0"/>
        <v>0.86040000000000005</v>
      </c>
      <c r="K25" s="103">
        <v>0.9</v>
      </c>
      <c r="L25" s="96"/>
      <c r="M25" s="80"/>
    </row>
    <row r="26" spans="1:13" ht="12.75">
      <c r="A26" s="80"/>
      <c r="B26" s="87"/>
      <c r="C26" s="88" t="s">
        <v>133</v>
      </c>
      <c r="D26" s="89"/>
      <c r="E26" s="89"/>
      <c r="F26" s="100">
        <v>20</v>
      </c>
      <c r="G26" s="101">
        <v>47.4</v>
      </c>
      <c r="H26" s="101">
        <v>0.93020000000000003</v>
      </c>
      <c r="I26" s="101">
        <v>0.96599999999999997</v>
      </c>
      <c r="J26" s="102">
        <f t="shared" si="0"/>
        <v>0.93020000000000003</v>
      </c>
      <c r="K26" s="103">
        <v>0.95</v>
      </c>
      <c r="L26" s="96"/>
      <c r="M26" s="80"/>
    </row>
    <row r="27" spans="1:13" ht="12.75">
      <c r="A27" s="80"/>
      <c r="B27" s="87"/>
      <c r="C27" s="108" t="str">
        <f>User.Comp1</f>
        <v>Disulfuro de carbono</v>
      </c>
      <c r="D27" s="109">
        <v>76.135000000000005</v>
      </c>
      <c r="E27" s="89"/>
      <c r="F27" s="100">
        <v>21</v>
      </c>
      <c r="G27" s="101">
        <v>46.3</v>
      </c>
      <c r="H27" s="101">
        <v>1</v>
      </c>
      <c r="I27" s="101">
        <v>1</v>
      </c>
      <c r="J27" s="102">
        <f t="shared" si="0"/>
        <v>1</v>
      </c>
      <c r="K27" s="103">
        <v>1</v>
      </c>
      <c r="L27" s="96"/>
      <c r="M27" s="80"/>
    </row>
    <row r="28" spans="1:13" ht="12.75">
      <c r="A28" s="80"/>
      <c r="B28" s="87"/>
      <c r="C28" s="108" t="str">
        <f>User.Comp2</f>
        <v>Tetracloruro de carbono</v>
      </c>
      <c r="D28" s="109">
        <v>153.82</v>
      </c>
      <c r="E28" s="89"/>
      <c r="F28" s="89"/>
      <c r="G28" s="100" t="s">
        <v>134</v>
      </c>
      <c r="L28" s="92"/>
      <c r="M28" s="80"/>
    </row>
    <row r="29" spans="1:13" ht="12.75">
      <c r="A29" s="80"/>
      <c r="B29" s="87"/>
      <c r="G29" s="110" t="s">
        <v>135</v>
      </c>
      <c r="L29" s="92"/>
      <c r="M29" s="80"/>
    </row>
    <row r="30" spans="1:13" ht="12.75">
      <c r="A30" s="80"/>
      <c r="B30" s="87"/>
      <c r="C30" s="108" t="s">
        <v>136</v>
      </c>
      <c r="D30" s="111">
        <v>1</v>
      </c>
      <c r="E30" s="88" t="s">
        <v>137</v>
      </c>
      <c r="L30" s="92"/>
      <c r="M30" s="80"/>
    </row>
    <row r="31" spans="1:13" ht="12.75">
      <c r="A31" s="80"/>
      <c r="B31" s="87"/>
      <c r="C31" s="112" t="s">
        <v>138</v>
      </c>
      <c r="D31" s="113"/>
      <c r="E31" s="113"/>
      <c r="F31" s="113"/>
      <c r="G31" s="113"/>
      <c r="H31" s="113"/>
      <c r="L31" s="92"/>
      <c r="M31" s="80"/>
    </row>
    <row r="32" spans="1:13" ht="12.75">
      <c r="A32" s="80"/>
      <c r="B32" s="87"/>
      <c r="C32" s="114"/>
      <c r="D32" s="114"/>
      <c r="E32" s="114" t="s">
        <v>73</v>
      </c>
      <c r="F32" s="114" t="s">
        <v>74</v>
      </c>
      <c r="G32" s="114" t="s">
        <v>75</v>
      </c>
      <c r="H32" s="114" t="s">
        <v>104</v>
      </c>
      <c r="I32" s="114" t="s">
        <v>105</v>
      </c>
      <c r="L32" s="92"/>
      <c r="M32" s="80"/>
    </row>
    <row r="33" spans="1:13" ht="12.75">
      <c r="A33" s="80"/>
      <c r="B33" s="87"/>
      <c r="C33" s="115" t="str">
        <f>User.Comp1</f>
        <v>Disulfuro de carbono</v>
      </c>
      <c r="D33" s="116" t="s">
        <v>139</v>
      </c>
      <c r="E33" s="117">
        <v>85600</v>
      </c>
      <c r="F33" s="118">
        <v>-122</v>
      </c>
      <c r="G33" s="119">
        <v>0.5605</v>
      </c>
      <c r="H33" s="120">
        <v>-1.4519999999999999E-3</v>
      </c>
      <c r="I33" s="121">
        <v>2.0080000000000001E-6</v>
      </c>
      <c r="L33" s="92"/>
      <c r="M33" s="80"/>
    </row>
    <row r="34" spans="1:13" ht="12.75">
      <c r="A34" s="80"/>
      <c r="B34" s="87"/>
      <c r="C34" s="115" t="str">
        <f>User.Comp2</f>
        <v>Tetracloruro de carbono</v>
      </c>
      <c r="D34" s="116" t="s">
        <v>139</v>
      </c>
      <c r="E34" s="117">
        <v>-752700</v>
      </c>
      <c r="F34" s="118">
        <v>8966.1</v>
      </c>
      <c r="G34" s="119">
        <v>-30.393999999999998</v>
      </c>
      <c r="H34" s="120">
        <v>3.4455E-2</v>
      </c>
      <c r="I34" s="121"/>
      <c r="L34" s="92"/>
      <c r="M34" s="80"/>
    </row>
    <row r="35" spans="1:13" ht="12.75">
      <c r="A35" s="80"/>
      <c r="B35" s="87"/>
      <c r="C35" s="89"/>
      <c r="D35" s="89"/>
      <c r="E35" s="89"/>
      <c r="F35" s="89"/>
      <c r="G35" s="89"/>
      <c r="H35" s="89"/>
      <c r="I35" s="89"/>
      <c r="L35" s="92"/>
      <c r="M35" s="80"/>
    </row>
    <row r="36" spans="1:13" ht="12.75">
      <c r="A36" s="80"/>
      <c r="B36" s="87"/>
      <c r="C36" s="89"/>
      <c r="D36" s="89"/>
      <c r="E36" s="89"/>
      <c r="F36" s="89"/>
      <c r="G36" s="89"/>
      <c r="H36" s="89"/>
      <c r="I36" s="89"/>
      <c r="L36" s="92"/>
      <c r="M36" s="80"/>
    </row>
    <row r="37" spans="1:13" ht="12.75">
      <c r="A37" s="80"/>
      <c r="B37" s="87"/>
      <c r="C37" s="112" t="s">
        <v>140</v>
      </c>
      <c r="D37" s="113"/>
      <c r="E37" s="113"/>
      <c r="F37" s="113"/>
      <c r="G37" s="113"/>
      <c r="H37" s="113"/>
      <c r="I37" s="112" t="s">
        <v>141</v>
      </c>
      <c r="L37" s="92"/>
      <c r="M37" s="80"/>
    </row>
    <row r="38" spans="1:13" ht="12.75">
      <c r="A38" s="80"/>
      <c r="B38" s="87"/>
      <c r="C38" s="114"/>
      <c r="D38" s="114"/>
      <c r="E38" s="122" t="s">
        <v>73</v>
      </c>
      <c r="F38" s="114" t="s">
        <v>74</v>
      </c>
      <c r="G38" s="114" t="s">
        <v>75</v>
      </c>
      <c r="H38" s="114" t="s">
        <v>104</v>
      </c>
      <c r="I38" s="122" t="s">
        <v>142</v>
      </c>
      <c r="L38" s="92"/>
      <c r="M38" s="80"/>
    </row>
    <row r="39" spans="1:13" ht="12.75">
      <c r="A39" s="80"/>
      <c r="B39" s="87"/>
      <c r="C39" s="115" t="str">
        <f>User.Comp1</f>
        <v>Disulfuro de carbono</v>
      </c>
      <c r="D39" s="123" t="s">
        <v>143</v>
      </c>
      <c r="E39" s="124">
        <v>34960000</v>
      </c>
      <c r="F39" s="120">
        <v>0.29859999999999998</v>
      </c>
      <c r="G39" s="125"/>
      <c r="H39" s="125"/>
      <c r="I39" s="109">
        <v>552</v>
      </c>
      <c r="L39" s="92"/>
      <c r="M39" s="80"/>
    </row>
    <row r="40" spans="1:13" ht="12.75">
      <c r="A40" s="80"/>
      <c r="B40" s="87"/>
      <c r="C40" s="115" t="str">
        <f>User.Comp2</f>
        <v>Tetracloruro de carbono</v>
      </c>
      <c r="D40" s="123" t="s">
        <v>143</v>
      </c>
      <c r="E40" s="124">
        <v>43252000</v>
      </c>
      <c r="F40" s="120">
        <v>0.37687999999999999</v>
      </c>
      <c r="G40" s="125"/>
      <c r="H40" s="125"/>
      <c r="I40" s="109">
        <v>556.35</v>
      </c>
      <c r="L40" s="92"/>
      <c r="M40" s="80"/>
    </row>
    <row r="41" spans="1:13" ht="12.75">
      <c r="A41" s="80"/>
      <c r="B41" s="87"/>
      <c r="C41" s="89"/>
      <c r="D41" s="89"/>
      <c r="E41" s="89"/>
      <c r="F41" s="89"/>
      <c r="G41" s="89"/>
      <c r="H41" s="89"/>
      <c r="I41" s="89"/>
      <c r="L41" s="92"/>
      <c r="M41" s="80"/>
    </row>
    <row r="42" spans="1:13" ht="12.75">
      <c r="A42" s="80"/>
      <c r="B42" s="87"/>
      <c r="C42" s="89"/>
      <c r="D42" s="89"/>
      <c r="E42" s="89"/>
      <c r="F42" s="89"/>
      <c r="G42" s="89"/>
      <c r="H42" s="89"/>
      <c r="I42" s="89"/>
      <c r="L42" s="92"/>
      <c r="M42" s="80"/>
    </row>
    <row r="43" spans="1:13" ht="12.75">
      <c r="A43" s="80"/>
      <c r="B43" s="126"/>
      <c r="C43" s="127"/>
      <c r="D43" s="127"/>
      <c r="E43" s="127"/>
      <c r="F43" s="127"/>
      <c r="G43" s="127"/>
      <c r="H43" s="127"/>
      <c r="I43" s="127"/>
      <c r="J43" s="127"/>
      <c r="K43" s="127"/>
      <c r="L43" s="128"/>
      <c r="M43" s="80"/>
    </row>
    <row r="44" spans="1:13" ht="12.75">
      <c r="A44" s="80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1"/>
      <c r="M44" s="80"/>
    </row>
    <row r="45" spans="1:13" ht="12.7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13" ht="12.75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13" ht="12.75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</sheetData>
  <hyperlinks>
    <hyperlink ref="G29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6AA84F"/>
    <outlinePr summaryBelow="0" summaryRight="0"/>
  </sheetPr>
  <dimension ref="A1:Y424"/>
  <sheetViews>
    <sheetView showGridLines="0" topLeftCell="A342" workbookViewId="0">
      <selection activeCell="D302" sqref="D302"/>
    </sheetView>
  </sheetViews>
  <sheetFormatPr baseColWidth="10" defaultColWidth="14.42578125" defaultRowHeight="15.75" customHeight="1"/>
  <cols>
    <col min="1" max="17" width="13" customWidth="1"/>
  </cols>
  <sheetData>
    <row r="1" spans="1:17" ht="12.75">
      <c r="A1" s="132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</row>
    <row r="2" spans="1:17" ht="30">
      <c r="A2" s="134" t="s">
        <v>144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17" ht="12.75">
      <c r="A3" s="35"/>
      <c r="C3" s="35"/>
    </row>
    <row r="4" spans="1:17" ht="15">
      <c r="A4" s="9"/>
    </row>
    <row r="5" spans="1:17" ht="18">
      <c r="A5" s="31" t="s">
        <v>5</v>
      </c>
      <c r="B5" s="416" t="str">
        <f>SISTEMA</f>
        <v xml:space="preserve">Usuario: Datos ingresados </v>
      </c>
      <c r="C5" s="406"/>
      <c r="D5" s="404"/>
      <c r="E5" s="135" t="str">
        <f ca="1">VLOOKUP(SISTEMA,'Base de Datos'!A5:E24,IF(presion=1,4,5))</f>
        <v>$I$5</v>
      </c>
      <c r="Q5">
        <f>SLOPE({1,2},{2,1})</f>
        <v>-1</v>
      </c>
    </row>
    <row r="6" spans="1:17" ht="12.75">
      <c r="A6" s="34"/>
    </row>
    <row r="7" spans="1:17" ht="12.75">
      <c r="A7" s="36"/>
      <c r="B7" s="35"/>
      <c r="C7" s="35"/>
      <c r="D7" s="35"/>
      <c r="E7" s="35"/>
    </row>
    <row r="8" spans="1:17" ht="12.75">
      <c r="A8" s="35"/>
      <c r="C8" s="136"/>
    </row>
    <row r="9" spans="1:17" ht="12.75">
      <c r="A9" s="137" t="s">
        <v>8</v>
      </c>
      <c r="B9" s="139" t="s">
        <v>149</v>
      </c>
      <c r="C9" s="139" t="s">
        <v>150</v>
      </c>
      <c r="D9" s="137" t="s">
        <v>151</v>
      </c>
      <c r="E9" s="140" t="s">
        <v>101</v>
      </c>
      <c r="F9" s="35"/>
    </row>
    <row r="10" spans="1:17" ht="12.75">
      <c r="A10" s="15">
        <f ca="1">OFFSET(INDIRECT(CONCATENATE("'Base de Datos'!",INDEX($E$5,1))),$F10,0,1)</f>
        <v>0</v>
      </c>
      <c r="B10" s="15">
        <f ca="1">OFFSET(INDIRECT(CONCATENATE("'Base de Datos'!",INDEX($E$5,1))),$F10,1,1)</f>
        <v>0</v>
      </c>
      <c r="C10" s="15">
        <f ca="1">OFFSET(INDIRECT(CONCATENATE("'Base de Datos'!",INDEX($E$5,1))),$F10,2,1)</f>
        <v>76.7</v>
      </c>
      <c r="D10" s="48">
        <f t="shared" ref="D10:D30" ca="1" si="0">C10+273.15</f>
        <v>349.84999999999997</v>
      </c>
      <c r="E10" s="48">
        <f t="shared" ref="E10:E30" ca="1" si="1">A10</f>
        <v>0</v>
      </c>
      <c r="F10" s="375">
        <v>0</v>
      </c>
    </row>
    <row r="11" spans="1:17" ht="12.75">
      <c r="A11" s="15">
        <f t="shared" ref="A11:A30" ca="1" si="2">OFFSET(INDIRECT(CONCATENATE("'Base de Datos'!",INDEX($E$5,1))),$F11,0,1)</f>
        <v>1.4800000000000001E-2</v>
      </c>
      <c r="B11" s="15">
        <f t="shared" ref="B11:B30" ca="1" si="3">OFFSET(INDIRECT(CONCATENATE("'Base de Datos'!",INDEX($E$5,1))),$F11,1,1)</f>
        <v>4.1200000000000001E-2</v>
      </c>
      <c r="C11" s="15">
        <f t="shared" ref="C11:C30" ca="1" si="4">OFFSET(INDIRECT(CONCATENATE("'Base de Datos'!",INDEX($E$5,1))),$F11,2,1)</f>
        <v>75.8</v>
      </c>
      <c r="D11" s="48">
        <f t="shared" ca="1" si="0"/>
        <v>348.95</v>
      </c>
      <c r="E11" s="48">
        <f t="shared" ca="1" si="1"/>
        <v>1.4800000000000001E-2</v>
      </c>
      <c r="F11" s="375">
        <v>1</v>
      </c>
    </row>
    <row r="12" spans="1:17" ht="12.75">
      <c r="A12" s="15">
        <f t="shared" ca="1" si="2"/>
        <v>2.9600000000000001E-2</v>
      </c>
      <c r="B12" s="15">
        <f t="shared" ca="1" si="3"/>
        <v>8.2299999999999998E-2</v>
      </c>
      <c r="C12" s="15">
        <f t="shared" ca="1" si="4"/>
        <v>74.900000000000006</v>
      </c>
      <c r="D12" s="48">
        <f t="shared" ca="1" si="0"/>
        <v>348.04999999999995</v>
      </c>
      <c r="E12" s="48">
        <f t="shared" ca="1" si="1"/>
        <v>2.9600000000000001E-2</v>
      </c>
      <c r="F12" s="375">
        <v>2</v>
      </c>
    </row>
    <row r="13" spans="1:17" ht="12.75">
      <c r="A13" s="15">
        <f t="shared" ca="1" si="2"/>
        <v>4.5600000000000002E-2</v>
      </c>
      <c r="B13" s="15">
        <f t="shared" ca="1" si="3"/>
        <v>0.11890000000000001</v>
      </c>
      <c r="C13" s="15">
        <f t="shared" ca="1" si="4"/>
        <v>74</v>
      </c>
      <c r="D13" s="48">
        <f t="shared" ca="1" si="0"/>
        <v>347.15</v>
      </c>
      <c r="E13" s="48">
        <f t="shared" ca="1" si="1"/>
        <v>4.5600000000000002E-2</v>
      </c>
      <c r="F13" s="375">
        <v>3</v>
      </c>
    </row>
    <row r="14" spans="1:17" ht="12.75">
      <c r="A14" s="15">
        <f t="shared" ca="1" si="2"/>
        <v>6.1499999999999999E-2</v>
      </c>
      <c r="B14" s="15">
        <f t="shared" ca="1" si="3"/>
        <v>0.1555</v>
      </c>
      <c r="C14" s="15">
        <f t="shared" ca="1" si="4"/>
        <v>73.099999999999994</v>
      </c>
      <c r="D14" s="48">
        <f t="shared" ca="1" si="0"/>
        <v>346.25</v>
      </c>
      <c r="E14" s="48">
        <f t="shared" ca="1" si="1"/>
        <v>6.1499999999999999E-2</v>
      </c>
      <c r="F14" s="375">
        <v>4</v>
      </c>
    </row>
    <row r="15" spans="1:17" ht="12.75">
      <c r="A15" s="15">
        <f t="shared" ca="1" si="2"/>
        <v>8.6099999999999996E-2</v>
      </c>
      <c r="B15" s="15">
        <f t="shared" ca="1" si="3"/>
        <v>0.21079999999999999</v>
      </c>
      <c r="C15" s="15">
        <f t="shared" ca="1" si="4"/>
        <v>71.7</v>
      </c>
      <c r="D15" s="48">
        <f t="shared" ca="1" si="0"/>
        <v>344.84999999999997</v>
      </c>
      <c r="E15" s="48">
        <f t="shared" ca="1" si="1"/>
        <v>8.6099999999999996E-2</v>
      </c>
      <c r="F15" s="375">
        <v>5</v>
      </c>
    </row>
    <row r="16" spans="1:17" ht="12.75">
      <c r="A16" s="15">
        <f t="shared" ca="1" si="2"/>
        <v>0.1106</v>
      </c>
      <c r="B16" s="15">
        <f t="shared" ca="1" si="3"/>
        <v>0.26600000000000001</v>
      </c>
      <c r="C16" s="15">
        <f t="shared" ca="1" si="4"/>
        <v>70.3</v>
      </c>
      <c r="D16" s="48">
        <f t="shared" ca="1" si="0"/>
        <v>343.45</v>
      </c>
      <c r="E16" s="48">
        <f t="shared" ca="1" si="1"/>
        <v>0.1106</v>
      </c>
      <c r="F16" s="375">
        <v>6</v>
      </c>
    </row>
    <row r="17" spans="1:6" ht="12.75">
      <c r="A17" s="15">
        <f t="shared" ca="1" si="2"/>
        <v>0.14349999999999999</v>
      </c>
      <c r="B17" s="15">
        <f t="shared" ca="1" si="3"/>
        <v>0.33250000000000002</v>
      </c>
      <c r="C17" s="15">
        <f t="shared" ca="1" si="4"/>
        <v>68.599999999999994</v>
      </c>
      <c r="D17" s="48">
        <f t="shared" ca="1" si="0"/>
        <v>341.75</v>
      </c>
      <c r="E17" s="48">
        <f t="shared" ca="1" si="1"/>
        <v>0.14349999999999999</v>
      </c>
      <c r="F17" s="375">
        <v>7</v>
      </c>
    </row>
    <row r="18" spans="1:6" ht="12.75">
      <c r="A18" s="15">
        <f t="shared" ca="1" si="2"/>
        <v>0.20100000000000001</v>
      </c>
      <c r="B18" s="15">
        <f t="shared" ca="1" si="3"/>
        <v>0.4138</v>
      </c>
      <c r="C18" s="15">
        <f t="shared" ca="1" si="4"/>
        <v>66.2</v>
      </c>
      <c r="D18" s="48">
        <f t="shared" ca="1" si="0"/>
        <v>339.34999999999997</v>
      </c>
      <c r="E18" s="48">
        <f t="shared" ca="1" si="1"/>
        <v>0.20100000000000001</v>
      </c>
      <c r="F18" s="375">
        <v>8</v>
      </c>
    </row>
    <row r="19" spans="1:6" ht="12.75">
      <c r="A19" s="15">
        <f t="shared" ca="1" si="2"/>
        <v>0.25850000000000001</v>
      </c>
      <c r="B19" s="15">
        <f t="shared" ca="1" si="3"/>
        <v>0.495</v>
      </c>
      <c r="C19" s="15">
        <f t="shared" ca="1" si="4"/>
        <v>63.8</v>
      </c>
      <c r="D19" s="48">
        <f t="shared" ca="1" si="0"/>
        <v>336.95</v>
      </c>
      <c r="E19" s="48">
        <f t="shared" ca="1" si="1"/>
        <v>0.25850000000000001</v>
      </c>
      <c r="F19" s="375">
        <v>9</v>
      </c>
    </row>
    <row r="20" spans="1:6" ht="12.75">
      <c r="A20" s="15">
        <f t="shared" ca="1" si="2"/>
        <v>0.39079999999999998</v>
      </c>
      <c r="B20" s="15">
        <f t="shared" ca="1" si="3"/>
        <v>0.63400000000000001</v>
      </c>
      <c r="C20" s="15">
        <f t="shared" ca="1" si="4"/>
        <v>59.3</v>
      </c>
      <c r="D20" s="48">
        <f t="shared" ca="1" si="0"/>
        <v>332.45</v>
      </c>
      <c r="E20" s="48">
        <f t="shared" ca="1" si="1"/>
        <v>0.39079999999999998</v>
      </c>
      <c r="F20" s="375">
        <v>10</v>
      </c>
    </row>
    <row r="21" spans="1:6" ht="12.75">
      <c r="A21" s="15">
        <f t="shared" ca="1" si="2"/>
        <v>0.46129999999999999</v>
      </c>
      <c r="B21" s="15">
        <f t="shared" ca="1" si="3"/>
        <v>0.6905</v>
      </c>
      <c r="C21" s="15">
        <f t="shared" ca="1" si="4"/>
        <v>57.3</v>
      </c>
      <c r="D21" s="48">
        <f t="shared" ca="1" si="0"/>
        <v>330.45</v>
      </c>
      <c r="E21" s="48">
        <f t="shared" ca="1" si="1"/>
        <v>0.46129999999999999</v>
      </c>
      <c r="F21" s="375">
        <v>11</v>
      </c>
    </row>
    <row r="22" spans="1:6" ht="12.75">
      <c r="A22" s="15">
        <f t="shared" ca="1" si="2"/>
        <v>0.53180000000000005</v>
      </c>
      <c r="B22" s="15">
        <f t="shared" ca="1" si="3"/>
        <v>0.747</v>
      </c>
      <c r="C22" s="15">
        <f t="shared" ca="1" si="4"/>
        <v>55.3</v>
      </c>
      <c r="D22" s="48">
        <f t="shared" ca="1" si="0"/>
        <v>328.45</v>
      </c>
      <c r="E22" s="48">
        <f t="shared" ca="1" si="1"/>
        <v>0.53180000000000005</v>
      </c>
      <c r="F22" s="375">
        <v>12</v>
      </c>
    </row>
    <row r="23" spans="1:6" ht="12.75">
      <c r="A23" s="15">
        <f t="shared" ca="1" si="2"/>
        <v>0.59740000000000004</v>
      </c>
      <c r="B23" s="15">
        <f t="shared" ca="1" si="3"/>
        <v>0.78800000000000003</v>
      </c>
      <c r="C23" s="15">
        <f t="shared" ca="1" si="4"/>
        <v>53.8</v>
      </c>
      <c r="D23" s="48">
        <f t="shared" ca="1" si="0"/>
        <v>326.95</v>
      </c>
      <c r="E23" s="48">
        <f t="shared" ca="1" si="1"/>
        <v>0.59740000000000004</v>
      </c>
      <c r="F23" s="375">
        <v>13</v>
      </c>
    </row>
    <row r="24" spans="1:6" ht="12.75">
      <c r="A24" s="15">
        <f t="shared" ca="1" si="2"/>
        <v>0.66300000000000003</v>
      </c>
      <c r="B24" s="15">
        <f t="shared" ca="1" si="3"/>
        <v>0.82899999999999996</v>
      </c>
      <c r="C24" s="15">
        <f t="shared" ca="1" si="4"/>
        <v>52.3</v>
      </c>
      <c r="D24" s="48">
        <f t="shared" ca="1" si="0"/>
        <v>325.45</v>
      </c>
      <c r="E24" s="48">
        <f t="shared" ca="1" si="1"/>
        <v>0.66300000000000003</v>
      </c>
      <c r="F24" s="375">
        <v>14</v>
      </c>
    </row>
    <row r="25" spans="1:6" ht="12.75">
      <c r="A25" s="15">
        <f t="shared" ca="1" si="2"/>
        <v>0.71020000000000005</v>
      </c>
      <c r="B25" s="15">
        <f t="shared" ca="1" si="3"/>
        <v>0.85350000000000004</v>
      </c>
      <c r="C25" s="15">
        <f t="shared" ca="1" si="4"/>
        <v>51.35</v>
      </c>
      <c r="D25" s="48">
        <f t="shared" ca="1" si="0"/>
        <v>324.5</v>
      </c>
      <c r="E25" s="48">
        <f t="shared" ca="1" si="1"/>
        <v>0.71020000000000005</v>
      </c>
      <c r="F25" s="375">
        <v>15</v>
      </c>
    </row>
    <row r="26" spans="1:6" ht="12.75">
      <c r="A26" s="15">
        <f t="shared" ca="1" si="2"/>
        <v>0.75739999999999996</v>
      </c>
      <c r="B26" s="15">
        <f t="shared" ca="1" si="3"/>
        <v>0.878</v>
      </c>
      <c r="C26" s="15">
        <f t="shared" ca="1" si="4"/>
        <v>50.4</v>
      </c>
      <c r="D26" s="48">
        <f t="shared" ca="1" si="0"/>
        <v>323.54999999999995</v>
      </c>
      <c r="E26" s="48">
        <f t="shared" ca="1" si="1"/>
        <v>0.75739999999999996</v>
      </c>
      <c r="F26" s="375">
        <v>16</v>
      </c>
    </row>
    <row r="27" spans="1:6" ht="12.75">
      <c r="A27" s="15">
        <f t="shared" ca="1" si="2"/>
        <v>0.80889999999999995</v>
      </c>
      <c r="B27" s="15">
        <f t="shared" ca="1" si="3"/>
        <v>0.90500000000000003</v>
      </c>
      <c r="C27" s="15">
        <f t="shared" ca="1" si="4"/>
        <v>49.36</v>
      </c>
      <c r="D27" s="48">
        <f t="shared" ca="1" si="0"/>
        <v>322.51</v>
      </c>
      <c r="E27" s="48">
        <f t="shared" ca="1" si="1"/>
        <v>0.80889999999999995</v>
      </c>
      <c r="F27" s="375">
        <v>17</v>
      </c>
    </row>
    <row r="28" spans="1:6" ht="12.75">
      <c r="A28" s="15">
        <f t="shared" ca="1" si="2"/>
        <v>0.86040000000000005</v>
      </c>
      <c r="B28" s="15">
        <f t="shared" ca="1" si="3"/>
        <v>0.93200000000000005</v>
      </c>
      <c r="C28" s="15">
        <f t="shared" ca="1" si="4"/>
        <v>48.5</v>
      </c>
      <c r="D28" s="48">
        <f t="shared" ca="1" si="0"/>
        <v>321.64999999999998</v>
      </c>
      <c r="E28" s="48">
        <f t="shared" ca="1" si="1"/>
        <v>0.86040000000000005</v>
      </c>
      <c r="F28" s="375">
        <v>18</v>
      </c>
    </row>
    <row r="29" spans="1:6" ht="12.75">
      <c r="A29" s="15">
        <f t="shared" ca="1" si="2"/>
        <v>0.93020000000000003</v>
      </c>
      <c r="B29" s="15">
        <f t="shared" ca="1" si="3"/>
        <v>0.96599999999999997</v>
      </c>
      <c r="C29" s="15">
        <f t="shared" ca="1" si="4"/>
        <v>47.4</v>
      </c>
      <c r="D29" s="48">
        <f t="shared" ca="1" si="0"/>
        <v>320.54999999999995</v>
      </c>
      <c r="E29" s="48">
        <f t="shared" ca="1" si="1"/>
        <v>0.93020000000000003</v>
      </c>
      <c r="F29" s="375">
        <v>19</v>
      </c>
    </row>
    <row r="30" spans="1:6" ht="12.75">
      <c r="A30" s="15">
        <f t="shared" ca="1" si="2"/>
        <v>1</v>
      </c>
      <c r="B30" s="15">
        <f t="shared" ca="1" si="3"/>
        <v>1</v>
      </c>
      <c r="C30" s="15">
        <f t="shared" ca="1" si="4"/>
        <v>46.3</v>
      </c>
      <c r="D30" s="48">
        <f t="shared" ca="1" si="0"/>
        <v>319.45</v>
      </c>
      <c r="E30" s="48">
        <f t="shared" ca="1" si="1"/>
        <v>1</v>
      </c>
      <c r="F30" s="375">
        <v>20</v>
      </c>
    </row>
    <row r="31" spans="1:6" ht="12.75">
      <c r="A31" s="35"/>
      <c r="C31" s="136"/>
    </row>
    <row r="32" spans="1:6" ht="12.75">
      <c r="A32" s="35"/>
      <c r="C32" s="136"/>
    </row>
    <row r="33" spans="1:14" ht="12.75">
      <c r="A33" s="35"/>
      <c r="C33" s="136"/>
    </row>
    <row r="34" spans="1:14" ht="12.75">
      <c r="A34" s="35"/>
      <c r="C34" s="136"/>
    </row>
    <row r="35" spans="1:14" ht="12.75">
      <c r="A35" s="35"/>
      <c r="C35" s="136"/>
    </row>
    <row r="36" spans="1:14" ht="12.75">
      <c r="A36" s="35"/>
      <c r="C36" s="136"/>
    </row>
    <row r="37" spans="1:14" ht="12.75">
      <c r="A37" s="35"/>
    </row>
    <row r="38" spans="1:14" ht="12.75">
      <c r="A38" s="35"/>
    </row>
    <row r="39" spans="1:14" ht="12.75">
      <c r="A39" s="35"/>
    </row>
    <row r="40" spans="1:14" ht="12.75">
      <c r="A40" s="35"/>
    </row>
    <row r="41" spans="1:14">
      <c r="A41" s="150" t="s">
        <v>156</v>
      </c>
    </row>
    <row r="42" spans="1:14" ht="12.75">
      <c r="A42" s="35"/>
      <c r="N42" s="35"/>
    </row>
    <row r="43" spans="1:14" ht="12.75">
      <c r="A43" s="152" t="str">
        <f t="shared" ref="A43:A65" si="5">D9</f>
        <v>T (K) sat</v>
      </c>
      <c r="B43" s="152" t="s">
        <v>8</v>
      </c>
      <c r="C43" s="152" t="s">
        <v>157</v>
      </c>
      <c r="D43" s="152" t="s">
        <v>158</v>
      </c>
      <c r="E43" s="152" t="s">
        <v>159</v>
      </c>
      <c r="F43" s="152" t="s">
        <v>160</v>
      </c>
      <c r="G43" s="152" t="s">
        <v>161</v>
      </c>
      <c r="H43" s="152" t="s">
        <v>162</v>
      </c>
      <c r="I43" s="152" t="s">
        <v>163</v>
      </c>
      <c r="J43" s="152" t="s">
        <v>164</v>
      </c>
      <c r="K43" s="152" t="s">
        <v>165</v>
      </c>
      <c r="M43" s="152" t="s">
        <v>166</v>
      </c>
      <c r="N43" s="152" t="s">
        <v>167</v>
      </c>
    </row>
    <row r="44" spans="1:14" ht="12.75">
      <c r="A44" s="162">
        <f t="shared" ca="1" si="5"/>
        <v>349.84999999999997</v>
      </c>
      <c r="B44" s="162">
        <f t="shared" ref="B44:B64" ca="1" si="6">A10</f>
        <v>0</v>
      </c>
      <c r="C44" s="43">
        <f t="shared" ref="C44:C64" ca="1" si="7">B44^2</f>
        <v>0</v>
      </c>
      <c r="D44" s="43">
        <f t="shared" ref="D44:D64" ca="1" si="8">B44^3</f>
        <v>0</v>
      </c>
      <c r="E44" s="90">
        <f t="shared" ref="E44:E64" ca="1" si="9">B44^4</f>
        <v>0</v>
      </c>
      <c r="F44" s="90">
        <f t="shared" ref="F44:F64" ca="1" si="10">B44^5</f>
        <v>0</v>
      </c>
      <c r="G44" s="90">
        <f t="shared" ref="G44:G64" ca="1" si="11">B44^6</f>
        <v>0</v>
      </c>
      <c r="H44" s="90">
        <f t="shared" ref="H44:H64" ca="1" si="12">B44^7</f>
        <v>0</v>
      </c>
      <c r="I44" s="90">
        <f t="shared" ref="I44:I64" ca="1" si="13">B44^8</f>
        <v>0</v>
      </c>
      <c r="J44" s="90">
        <f t="shared" ref="J44:J64" ca="1" si="14">B44^9</f>
        <v>0</v>
      </c>
      <c r="K44" s="167">
        <f t="shared" ref="K44:K64" ca="1" si="15">B44^10</f>
        <v>0</v>
      </c>
      <c r="M44" s="48">
        <f t="shared" ref="M44:M64" ca="1" si="16">m10T*B44^10+m9T*B44^9+m8T*B44^8+m7T*B44^7+m6T*B44^6+m5T*B44^5+m4T*B44^4+m3T*B44^3+m2T*B44^2+m1T*B44^1+mbT</f>
        <v>349.83201302962595</v>
      </c>
      <c r="N44" s="171">
        <f t="shared" ref="N44:N64" ca="1" si="17">ABS(A44-M44)/A44</f>
        <v>5.1413378230701679E-5</v>
      </c>
    </row>
    <row r="45" spans="1:14" ht="12.75">
      <c r="A45" s="162">
        <f t="shared" ca="1" si="5"/>
        <v>348.95</v>
      </c>
      <c r="B45" s="162">
        <f t="shared" ca="1" si="6"/>
        <v>1.4800000000000001E-2</v>
      </c>
      <c r="C45" s="43">
        <f t="shared" ca="1" si="7"/>
        <v>2.1904000000000002E-4</v>
      </c>
      <c r="D45" s="43">
        <f t="shared" ca="1" si="8"/>
        <v>3.2417920000000002E-6</v>
      </c>
      <c r="E45" s="90">
        <f t="shared" ca="1" si="9"/>
        <v>4.7978521600000009E-8</v>
      </c>
      <c r="F45" s="90">
        <f t="shared" ca="1" si="10"/>
        <v>7.1008211968000014E-10</v>
      </c>
      <c r="G45" s="90">
        <f t="shared" ca="1" si="11"/>
        <v>1.0509215371264003E-11</v>
      </c>
      <c r="H45" s="90">
        <f t="shared" ca="1" si="12"/>
        <v>1.5553638749470723E-13</v>
      </c>
      <c r="I45" s="90">
        <f t="shared" ca="1" si="13"/>
        <v>2.3019385349216673E-15</v>
      </c>
      <c r="J45" s="90">
        <f t="shared" ca="1" si="14"/>
        <v>3.4068690316840676E-17</v>
      </c>
      <c r="K45" s="167">
        <f t="shared" ca="1" si="15"/>
        <v>5.0421661668924208E-19</v>
      </c>
      <c r="M45" s="48">
        <f t="shared" ca="1" si="16"/>
        <v>348.96798869698807</v>
      </c>
      <c r="N45" s="171">
        <f t="shared" ca="1" si="17"/>
        <v>5.1550929898507039E-5</v>
      </c>
    </row>
    <row r="46" spans="1:14" ht="12.75">
      <c r="A46" s="162">
        <f t="shared" ca="1" si="5"/>
        <v>348.04999999999995</v>
      </c>
      <c r="B46" s="162">
        <f t="shared" ca="1" si="6"/>
        <v>2.9600000000000001E-2</v>
      </c>
      <c r="C46" s="43">
        <f t="shared" ca="1" si="7"/>
        <v>8.7616000000000007E-4</v>
      </c>
      <c r="D46" s="43">
        <f t="shared" ca="1" si="8"/>
        <v>2.5934336000000002E-5</v>
      </c>
      <c r="E46" s="90">
        <f t="shared" ca="1" si="9"/>
        <v>7.6765634560000014E-7</v>
      </c>
      <c r="F46" s="90">
        <f t="shared" ca="1" si="10"/>
        <v>2.2722627829760004E-8</v>
      </c>
      <c r="G46" s="90">
        <f t="shared" ca="1" si="11"/>
        <v>6.7258978376089619E-10</v>
      </c>
      <c r="H46" s="90">
        <f t="shared" ca="1" si="12"/>
        <v>1.9908657599322526E-11</v>
      </c>
      <c r="I46" s="90">
        <f t="shared" ca="1" si="13"/>
        <v>5.8929626493994682E-13</v>
      </c>
      <c r="J46" s="90">
        <f t="shared" ca="1" si="14"/>
        <v>1.7443169442222426E-14</v>
      </c>
      <c r="K46" s="167">
        <f t="shared" ca="1" si="15"/>
        <v>5.1631781548978389E-16</v>
      </c>
      <c r="M46" s="48">
        <f t="shared" ca="1" si="16"/>
        <v>348.08958004175668</v>
      </c>
      <c r="N46" s="171">
        <f t="shared" ca="1" si="17"/>
        <v>1.1371941317834101E-4</v>
      </c>
    </row>
    <row r="47" spans="1:14" ht="12.75">
      <c r="A47" s="162">
        <f t="shared" ca="1" si="5"/>
        <v>347.15</v>
      </c>
      <c r="B47" s="162">
        <f t="shared" ca="1" si="6"/>
        <v>4.5600000000000002E-2</v>
      </c>
      <c r="C47" s="43">
        <f t="shared" ca="1" si="7"/>
        <v>2.0793600000000001E-3</v>
      </c>
      <c r="D47" s="43">
        <f t="shared" ca="1" si="8"/>
        <v>9.4818816000000005E-5</v>
      </c>
      <c r="E47" s="90">
        <f t="shared" ca="1" si="9"/>
        <v>4.3237380096000008E-6</v>
      </c>
      <c r="F47" s="90">
        <f t="shared" ca="1" si="10"/>
        <v>1.9716245323776004E-7</v>
      </c>
      <c r="G47" s="90">
        <f t="shared" ca="1" si="11"/>
        <v>8.9906078676418591E-9</v>
      </c>
      <c r="H47" s="90">
        <f t="shared" ca="1" si="12"/>
        <v>4.0997171876446875E-10</v>
      </c>
      <c r="I47" s="90">
        <f t="shared" ca="1" si="13"/>
        <v>1.8694710375659775E-11</v>
      </c>
      <c r="J47" s="90">
        <f t="shared" ca="1" si="14"/>
        <v>8.5247879313008582E-13</v>
      </c>
      <c r="K47" s="167">
        <f t="shared" ca="1" si="15"/>
        <v>3.8873032966731911E-14</v>
      </c>
      <c r="M47" s="48">
        <f t="shared" ca="1" si="16"/>
        <v>347.13944905292084</v>
      </c>
      <c r="N47" s="171">
        <f t="shared" ca="1" si="17"/>
        <v>3.0393049342183353E-5</v>
      </c>
    </row>
    <row r="48" spans="1:14" ht="12.75">
      <c r="A48" s="162">
        <f t="shared" ca="1" si="5"/>
        <v>346.25</v>
      </c>
      <c r="B48" s="162">
        <f t="shared" ca="1" si="6"/>
        <v>6.1499999999999999E-2</v>
      </c>
      <c r="C48" s="43">
        <f t="shared" ca="1" si="7"/>
        <v>3.78225E-3</v>
      </c>
      <c r="D48" s="43">
        <f t="shared" ca="1" si="8"/>
        <v>2.32608375E-4</v>
      </c>
      <c r="E48" s="90">
        <f t="shared" ca="1" si="9"/>
        <v>1.4305415062499999E-5</v>
      </c>
      <c r="F48" s="90">
        <f t="shared" ca="1" si="10"/>
        <v>8.7978302634374998E-7</v>
      </c>
      <c r="G48" s="90">
        <f t="shared" ca="1" si="11"/>
        <v>5.4106656120140624E-8</v>
      </c>
      <c r="H48" s="90">
        <f t="shared" ca="1" si="12"/>
        <v>3.3275593513886483E-9</v>
      </c>
      <c r="I48" s="90">
        <f t="shared" ca="1" si="13"/>
        <v>2.0464490011040187E-10</v>
      </c>
      <c r="J48" s="90">
        <f t="shared" ca="1" si="14"/>
        <v>1.2585661356789715E-11</v>
      </c>
      <c r="K48" s="167">
        <f t="shared" ca="1" si="15"/>
        <v>7.7401817344256746E-13</v>
      </c>
      <c r="M48" s="48">
        <f t="shared" ca="1" si="16"/>
        <v>346.20719431575054</v>
      </c>
      <c r="N48" s="171">
        <f t="shared" ca="1" si="17"/>
        <v>1.2362652490818313E-4</v>
      </c>
    </row>
    <row r="49" spans="1:14" ht="12.75">
      <c r="A49" s="162">
        <f t="shared" ca="1" si="5"/>
        <v>344.84999999999997</v>
      </c>
      <c r="B49" s="162">
        <f t="shared" ca="1" si="6"/>
        <v>8.6099999999999996E-2</v>
      </c>
      <c r="C49" s="43">
        <f t="shared" ca="1" si="7"/>
        <v>7.4132099999999991E-3</v>
      </c>
      <c r="D49" s="43">
        <f t="shared" ca="1" si="8"/>
        <v>6.3827738099999992E-4</v>
      </c>
      <c r="E49" s="90">
        <f t="shared" ca="1" si="9"/>
        <v>5.4955682504099987E-5</v>
      </c>
      <c r="F49" s="90">
        <f t="shared" ca="1" si="10"/>
        <v>4.7316842636030088E-6</v>
      </c>
      <c r="G49" s="90">
        <f t="shared" ca="1" si="11"/>
        <v>4.0739801509621903E-7</v>
      </c>
      <c r="H49" s="90">
        <f t="shared" ca="1" si="12"/>
        <v>3.5076969099784455E-8</v>
      </c>
      <c r="I49" s="90">
        <f t="shared" ca="1" si="13"/>
        <v>3.0201270394914415E-9</v>
      </c>
      <c r="J49" s="90">
        <f t="shared" ca="1" si="14"/>
        <v>2.6003293810021309E-10</v>
      </c>
      <c r="K49" s="167">
        <f t="shared" ca="1" si="15"/>
        <v>2.2388835970428348E-11</v>
      </c>
      <c r="M49" s="48">
        <f t="shared" ca="1" si="16"/>
        <v>344.80860295997149</v>
      </c>
      <c r="N49" s="171">
        <f t="shared" ca="1" si="17"/>
        <v>1.2004361324770513E-4</v>
      </c>
    </row>
    <row r="50" spans="1:14" ht="12.75">
      <c r="A50" s="162">
        <f t="shared" ca="1" si="5"/>
        <v>343.45</v>
      </c>
      <c r="B50" s="162">
        <f t="shared" ca="1" si="6"/>
        <v>0.1106</v>
      </c>
      <c r="C50" s="43">
        <f t="shared" ca="1" si="7"/>
        <v>1.2232360000000001E-2</v>
      </c>
      <c r="D50" s="43">
        <f t="shared" ca="1" si="8"/>
        <v>1.3528990160000002E-3</v>
      </c>
      <c r="E50" s="90">
        <f t="shared" ca="1" si="9"/>
        <v>1.4963063116960003E-4</v>
      </c>
      <c r="F50" s="90">
        <f t="shared" ca="1" si="10"/>
        <v>1.6549147807357764E-5</v>
      </c>
      <c r="G50" s="90">
        <f t="shared" ca="1" si="11"/>
        <v>1.8303357474937688E-6</v>
      </c>
      <c r="H50" s="90">
        <f t="shared" ca="1" si="12"/>
        <v>2.0243513367281085E-7</v>
      </c>
      <c r="I50" s="90">
        <f t="shared" ca="1" si="13"/>
        <v>2.2389325784212878E-8</v>
      </c>
      <c r="J50" s="90">
        <f t="shared" ca="1" si="14"/>
        <v>2.4762594317339443E-9</v>
      </c>
      <c r="K50" s="167">
        <f t="shared" ca="1" si="15"/>
        <v>2.7387429314977426E-10</v>
      </c>
      <c r="M50" s="48">
        <f t="shared" ca="1" si="16"/>
        <v>343.48515911389501</v>
      </c>
      <c r="N50" s="171">
        <f t="shared" ca="1" si="17"/>
        <v>1.0237040004373213E-4</v>
      </c>
    </row>
    <row r="51" spans="1:14" ht="12.75">
      <c r="A51" s="162">
        <f t="shared" ca="1" si="5"/>
        <v>341.75</v>
      </c>
      <c r="B51" s="162">
        <f t="shared" ca="1" si="6"/>
        <v>0.14349999999999999</v>
      </c>
      <c r="C51" s="43">
        <f t="shared" ca="1" si="7"/>
        <v>2.0592249999999996E-2</v>
      </c>
      <c r="D51" s="43">
        <f t="shared" ca="1" si="8"/>
        <v>2.9549878749999992E-3</v>
      </c>
      <c r="E51" s="90">
        <f t="shared" ca="1" si="9"/>
        <v>4.2404076006249985E-4</v>
      </c>
      <c r="F51" s="90">
        <f t="shared" ca="1" si="10"/>
        <v>6.0849849068968725E-5</v>
      </c>
      <c r="G51" s="90">
        <f t="shared" ca="1" si="11"/>
        <v>8.7319533413970107E-6</v>
      </c>
      <c r="H51" s="90">
        <f t="shared" ca="1" si="12"/>
        <v>1.2530353044904709E-6</v>
      </c>
      <c r="I51" s="90">
        <f t="shared" ca="1" si="13"/>
        <v>1.7981056619438256E-7</v>
      </c>
      <c r="J51" s="90">
        <f t="shared" ca="1" si="14"/>
        <v>2.5802816248893895E-8</v>
      </c>
      <c r="K51" s="167">
        <f t="shared" ca="1" si="15"/>
        <v>3.7027041317162733E-9</v>
      </c>
      <c r="M51" s="48">
        <f t="shared" ca="1" si="16"/>
        <v>341.82957046508835</v>
      </c>
      <c r="N51" s="171">
        <f t="shared" ca="1" si="17"/>
        <v>2.3283237772743875E-4</v>
      </c>
    </row>
    <row r="52" spans="1:14" ht="12.75">
      <c r="A52" s="162">
        <f t="shared" ca="1" si="5"/>
        <v>339.34999999999997</v>
      </c>
      <c r="B52" s="162">
        <f t="shared" ca="1" si="6"/>
        <v>0.20100000000000001</v>
      </c>
      <c r="C52" s="43">
        <f t="shared" ca="1" si="7"/>
        <v>4.0401000000000006E-2</v>
      </c>
      <c r="D52" s="43">
        <f t="shared" ca="1" si="8"/>
        <v>8.1206010000000016E-3</v>
      </c>
      <c r="E52" s="90">
        <f t="shared" ca="1" si="9"/>
        <v>1.6322408010000006E-3</v>
      </c>
      <c r="F52" s="90">
        <f t="shared" ca="1" si="10"/>
        <v>3.2808040100100011E-4</v>
      </c>
      <c r="G52" s="90">
        <f t="shared" ca="1" si="11"/>
        <v>6.594416060120103E-5</v>
      </c>
      <c r="H52" s="90">
        <f t="shared" ca="1" si="12"/>
        <v>1.3254776280841409E-5</v>
      </c>
      <c r="I52" s="90">
        <f t="shared" ca="1" si="13"/>
        <v>2.6642100324491234E-6</v>
      </c>
      <c r="J52" s="90">
        <f t="shared" ca="1" si="14"/>
        <v>5.3550621652227384E-7</v>
      </c>
      <c r="K52" s="167">
        <f t="shared" ca="1" si="15"/>
        <v>1.0763674952097705E-7</v>
      </c>
      <c r="M52" s="48">
        <f t="shared" ca="1" si="16"/>
        <v>339.25149876069344</v>
      </c>
      <c r="N52" s="171">
        <f t="shared" ca="1" si="17"/>
        <v>2.9026444469288049E-4</v>
      </c>
    </row>
    <row r="53" spans="1:14" ht="12.75">
      <c r="A53" s="162">
        <f t="shared" ca="1" si="5"/>
        <v>336.95</v>
      </c>
      <c r="B53" s="162">
        <f t="shared" ca="1" si="6"/>
        <v>0.25850000000000001</v>
      </c>
      <c r="C53" s="43">
        <f t="shared" ca="1" si="7"/>
        <v>6.682225E-2</v>
      </c>
      <c r="D53" s="43">
        <f t="shared" ca="1" si="8"/>
        <v>1.7273551625000001E-2</v>
      </c>
      <c r="E53" s="90">
        <f t="shared" ca="1" si="9"/>
        <v>4.4652130950624995E-3</v>
      </c>
      <c r="F53" s="90">
        <f t="shared" ca="1" si="10"/>
        <v>1.1542575850736561E-3</v>
      </c>
      <c r="G53" s="90">
        <f t="shared" ca="1" si="11"/>
        <v>2.983755857415401E-4</v>
      </c>
      <c r="H53" s="90">
        <f t="shared" ca="1" si="12"/>
        <v>7.7130088914188121E-5</v>
      </c>
      <c r="I53" s="90">
        <f t="shared" ca="1" si="13"/>
        <v>1.9938127984317627E-5</v>
      </c>
      <c r="J53" s="90">
        <f t="shared" ca="1" si="14"/>
        <v>5.1540060839461064E-6</v>
      </c>
      <c r="K53" s="167">
        <f t="shared" ca="1" si="15"/>
        <v>1.3323105727000684E-6</v>
      </c>
      <c r="M53" s="48">
        <f t="shared" ca="1" si="16"/>
        <v>336.98669742456394</v>
      </c>
      <c r="N53" s="171">
        <f t="shared" ca="1" si="17"/>
        <v>1.0891059374967792E-4</v>
      </c>
    </row>
    <row r="54" spans="1:14" ht="12.75">
      <c r="A54" s="162">
        <f t="shared" ca="1" si="5"/>
        <v>332.45</v>
      </c>
      <c r="B54" s="162">
        <f t="shared" ca="1" si="6"/>
        <v>0.39079999999999998</v>
      </c>
      <c r="C54" s="43">
        <f t="shared" ca="1" si="7"/>
        <v>0.15272463999999999</v>
      </c>
      <c r="D54" s="43">
        <f t="shared" ca="1" si="8"/>
        <v>5.9684789311999997E-2</v>
      </c>
      <c r="E54" s="90">
        <f t="shared" ca="1" si="9"/>
        <v>2.3324815663129599E-2</v>
      </c>
      <c r="F54" s="90">
        <f t="shared" ca="1" si="10"/>
        <v>9.115337961151047E-3</v>
      </c>
      <c r="G54" s="90">
        <f t="shared" ca="1" si="11"/>
        <v>3.5622740752178292E-3</v>
      </c>
      <c r="H54" s="90">
        <f t="shared" ca="1" si="12"/>
        <v>1.3921367085951277E-3</v>
      </c>
      <c r="I54" s="90">
        <f t="shared" ca="1" si="13"/>
        <v>5.4404702571897586E-4</v>
      </c>
      <c r="J54" s="90">
        <f t="shared" ca="1" si="14"/>
        <v>2.1261357765097575E-4</v>
      </c>
      <c r="K54" s="167">
        <f t="shared" ca="1" si="15"/>
        <v>8.3089386146001327E-5</v>
      </c>
      <c r="M54" s="48">
        <f t="shared" ca="1" si="16"/>
        <v>332.48278699131976</v>
      </c>
      <c r="N54" s="171">
        <f t="shared" ca="1" si="17"/>
        <v>9.8622323115558336E-5</v>
      </c>
    </row>
    <row r="55" spans="1:14" ht="12.75">
      <c r="A55" s="162">
        <f t="shared" ca="1" si="5"/>
        <v>330.45</v>
      </c>
      <c r="B55" s="162">
        <f t="shared" ca="1" si="6"/>
        <v>0.46129999999999999</v>
      </c>
      <c r="C55" s="43">
        <f t="shared" ca="1" si="7"/>
        <v>0.21279768999999998</v>
      </c>
      <c r="D55" s="43">
        <f t="shared" ca="1" si="8"/>
        <v>9.8163574396999992E-2</v>
      </c>
      <c r="E55" s="90">
        <f t="shared" ca="1" si="9"/>
        <v>4.5282856869336092E-2</v>
      </c>
      <c r="F55" s="90">
        <f t="shared" ca="1" si="10"/>
        <v>2.0888981873824739E-2</v>
      </c>
      <c r="G55" s="90">
        <f t="shared" ca="1" si="11"/>
        <v>9.6360873383953514E-3</v>
      </c>
      <c r="H55" s="90">
        <f t="shared" ca="1" si="12"/>
        <v>4.4451270892017754E-3</v>
      </c>
      <c r="I55" s="90">
        <f t="shared" ca="1" si="13"/>
        <v>2.0505371262487791E-3</v>
      </c>
      <c r="J55" s="90">
        <f t="shared" ca="1" si="14"/>
        <v>9.4591277633856172E-4</v>
      </c>
      <c r="K55" s="167">
        <f t="shared" ca="1" si="15"/>
        <v>4.3634956372497853E-4</v>
      </c>
      <c r="M55" s="48">
        <f t="shared" ca="1" si="16"/>
        <v>330.38495590790939</v>
      </c>
      <c r="N55" s="171">
        <f t="shared" ca="1" si="17"/>
        <v>1.9683489814072366E-4</v>
      </c>
    </row>
    <row r="56" spans="1:14" ht="12.75">
      <c r="A56" s="162">
        <f t="shared" ca="1" si="5"/>
        <v>328.45</v>
      </c>
      <c r="B56" s="162">
        <f t="shared" ca="1" si="6"/>
        <v>0.53180000000000005</v>
      </c>
      <c r="C56" s="43">
        <f t="shared" ca="1" si="7"/>
        <v>0.28281124000000007</v>
      </c>
      <c r="D56" s="43">
        <f t="shared" ca="1" si="8"/>
        <v>0.15039901743200004</v>
      </c>
      <c r="E56" s="90">
        <f t="shared" ca="1" si="9"/>
        <v>7.9982197470337649E-2</v>
      </c>
      <c r="F56" s="90">
        <f t="shared" ca="1" si="10"/>
        <v>4.2534532614725569E-2</v>
      </c>
      <c r="G56" s="90">
        <f t="shared" ca="1" si="11"/>
        <v>2.261986444451106E-2</v>
      </c>
      <c r="H56" s="90">
        <f t="shared" ca="1" si="12"/>
        <v>1.2029243911590982E-2</v>
      </c>
      <c r="I56" s="90">
        <f t="shared" ca="1" si="13"/>
        <v>6.3971519121840863E-3</v>
      </c>
      <c r="J56" s="90">
        <f t="shared" ca="1" si="14"/>
        <v>3.4020053868994973E-3</v>
      </c>
      <c r="K56" s="167">
        <f t="shared" ca="1" si="15"/>
        <v>1.809186464753153E-3</v>
      </c>
      <c r="M56" s="48">
        <f t="shared" ca="1" si="16"/>
        <v>328.50096769215656</v>
      </c>
      <c r="N56" s="171">
        <f t="shared" ca="1" si="17"/>
        <v>1.5517641088925438E-4</v>
      </c>
    </row>
    <row r="57" spans="1:14" ht="12.75">
      <c r="A57" s="162">
        <f t="shared" ca="1" si="5"/>
        <v>326.95</v>
      </c>
      <c r="B57" s="162">
        <f t="shared" ca="1" si="6"/>
        <v>0.59740000000000004</v>
      </c>
      <c r="C57" s="43">
        <f t="shared" ca="1" si="7"/>
        <v>0.35688676000000003</v>
      </c>
      <c r="D57" s="43">
        <f t="shared" ca="1" si="8"/>
        <v>0.21320415042400004</v>
      </c>
      <c r="E57" s="90">
        <f t="shared" ca="1" si="9"/>
        <v>0.12736815946329763</v>
      </c>
      <c r="F57" s="90">
        <f t="shared" ca="1" si="10"/>
        <v>7.608973846337401E-2</v>
      </c>
      <c r="G57" s="90">
        <f t="shared" ca="1" si="11"/>
        <v>4.5456009758019632E-2</v>
      </c>
      <c r="H57" s="90">
        <f t="shared" ca="1" si="12"/>
        <v>2.7155420229440931E-2</v>
      </c>
      <c r="I57" s="90">
        <f t="shared" ca="1" si="13"/>
        <v>1.6222648045068015E-2</v>
      </c>
      <c r="J57" s="90">
        <f t="shared" ca="1" si="14"/>
        <v>9.6914099421236324E-3</v>
      </c>
      <c r="K57" s="167">
        <f t="shared" ca="1" si="15"/>
        <v>5.7896482994246583E-3</v>
      </c>
      <c r="M57" s="48">
        <f t="shared" ca="1" si="16"/>
        <v>326.92484794842642</v>
      </c>
      <c r="N57" s="171">
        <f t="shared" ca="1" si="17"/>
        <v>7.6929351807831749E-5</v>
      </c>
    </row>
    <row r="58" spans="1:14" ht="12.75">
      <c r="A58" s="162">
        <f t="shared" ca="1" si="5"/>
        <v>325.45</v>
      </c>
      <c r="B58" s="162">
        <f t="shared" ca="1" si="6"/>
        <v>0.66300000000000003</v>
      </c>
      <c r="C58" s="43">
        <f t="shared" ca="1" si="7"/>
        <v>0.43956900000000004</v>
      </c>
      <c r="D58" s="43">
        <f t="shared" ca="1" si="8"/>
        <v>0.29143424700000004</v>
      </c>
      <c r="E58" s="90">
        <f t="shared" ca="1" si="9"/>
        <v>0.19322090576100004</v>
      </c>
      <c r="F58" s="90">
        <f t="shared" ca="1" si="10"/>
        <v>0.12810546051954302</v>
      </c>
      <c r="G58" s="90">
        <f t="shared" ca="1" si="11"/>
        <v>8.4933920324457041E-2</v>
      </c>
      <c r="H58" s="90">
        <f t="shared" ca="1" si="12"/>
        <v>5.6311189175115017E-2</v>
      </c>
      <c r="I58" s="90">
        <f t="shared" ca="1" si="13"/>
        <v>3.7334318423101261E-2</v>
      </c>
      <c r="J58" s="90">
        <f t="shared" ca="1" si="14"/>
        <v>2.4752653114516136E-2</v>
      </c>
      <c r="K58" s="167">
        <f t="shared" ca="1" si="15"/>
        <v>1.6411009014924198E-2</v>
      </c>
      <c r="M58" s="48">
        <f t="shared" ca="1" si="16"/>
        <v>325.47519179795921</v>
      </c>
      <c r="N58" s="171">
        <f t="shared" ca="1" si="17"/>
        <v>7.7406046886537252E-5</v>
      </c>
    </row>
    <row r="59" spans="1:14" ht="12.75">
      <c r="A59" s="162">
        <f t="shared" ca="1" si="5"/>
        <v>324.5</v>
      </c>
      <c r="B59" s="162">
        <f t="shared" ca="1" si="6"/>
        <v>0.71020000000000005</v>
      </c>
      <c r="C59" s="43">
        <f t="shared" ca="1" si="7"/>
        <v>0.50438404000000003</v>
      </c>
      <c r="D59" s="43">
        <f t="shared" ca="1" si="8"/>
        <v>0.35821354520800003</v>
      </c>
      <c r="E59" s="90">
        <f t="shared" ca="1" si="9"/>
        <v>0.25440325980672163</v>
      </c>
      <c r="F59" s="90">
        <f t="shared" ca="1" si="10"/>
        <v>0.18067719511473371</v>
      </c>
      <c r="G59" s="90">
        <f t="shared" ca="1" si="11"/>
        <v>0.12831694397048388</v>
      </c>
      <c r="H59" s="90">
        <f t="shared" ca="1" si="12"/>
        <v>9.1130693607837654E-2</v>
      </c>
      <c r="I59" s="90">
        <f t="shared" ca="1" si="13"/>
        <v>6.4721018600286298E-2</v>
      </c>
      <c r="J59" s="90">
        <f t="shared" ca="1" si="14"/>
        <v>4.5964867409923331E-2</v>
      </c>
      <c r="K59" s="167">
        <f t="shared" ca="1" si="15"/>
        <v>3.2644248834527552E-2</v>
      </c>
      <c r="M59" s="48">
        <f t="shared" ca="1" si="16"/>
        <v>324.48455736117307</v>
      </c>
      <c r="N59" s="171">
        <f t="shared" ca="1" si="17"/>
        <v>4.7589025660788159E-5</v>
      </c>
    </row>
    <row r="60" spans="1:14" ht="12.75">
      <c r="A60" s="162">
        <f t="shared" ca="1" si="5"/>
        <v>323.54999999999995</v>
      </c>
      <c r="B60" s="162">
        <f t="shared" ca="1" si="6"/>
        <v>0.75739999999999996</v>
      </c>
      <c r="C60" s="43">
        <f t="shared" ca="1" si="7"/>
        <v>0.57365475999999993</v>
      </c>
      <c r="D60" s="43">
        <f t="shared" ca="1" si="8"/>
        <v>0.43448611522399994</v>
      </c>
      <c r="E60" s="90">
        <f t="shared" ca="1" si="9"/>
        <v>0.32907978367065754</v>
      </c>
      <c r="F60" s="90">
        <f t="shared" ca="1" si="10"/>
        <v>0.24924502815215602</v>
      </c>
      <c r="G60" s="90">
        <f t="shared" ca="1" si="11"/>
        <v>0.18877818432244295</v>
      </c>
      <c r="H60" s="90">
        <f t="shared" ca="1" si="12"/>
        <v>0.14298059680581829</v>
      </c>
      <c r="I60" s="90">
        <f t="shared" ca="1" si="13"/>
        <v>0.10829350402072677</v>
      </c>
      <c r="J60" s="90">
        <f t="shared" ca="1" si="14"/>
        <v>8.2021499945298448E-2</v>
      </c>
      <c r="K60" s="167">
        <f t="shared" ca="1" si="15"/>
        <v>6.2123084058569041E-2</v>
      </c>
      <c r="M60" s="48">
        <f t="shared" ca="1" si="16"/>
        <v>323.53028042696661</v>
      </c>
      <c r="N60" s="171">
        <f t="shared" ca="1" si="17"/>
        <v>6.0947529078479166E-5</v>
      </c>
    </row>
    <row r="61" spans="1:14" ht="12.75">
      <c r="A61" s="162">
        <f t="shared" ca="1" si="5"/>
        <v>322.51</v>
      </c>
      <c r="B61" s="162">
        <f t="shared" ca="1" si="6"/>
        <v>0.80889999999999995</v>
      </c>
      <c r="C61" s="43">
        <f t="shared" ca="1" si="7"/>
        <v>0.65431920999999993</v>
      </c>
      <c r="D61" s="43">
        <f t="shared" ca="1" si="8"/>
        <v>0.52927880896899993</v>
      </c>
      <c r="E61" s="90">
        <f t="shared" ca="1" si="9"/>
        <v>0.42813362857502402</v>
      </c>
      <c r="F61" s="90">
        <f t="shared" ca="1" si="10"/>
        <v>0.34631729215433693</v>
      </c>
      <c r="G61" s="90">
        <f t="shared" ca="1" si="11"/>
        <v>0.28013605762364313</v>
      </c>
      <c r="H61" s="90">
        <f t="shared" ca="1" si="12"/>
        <v>0.22660205701176492</v>
      </c>
      <c r="I61" s="90">
        <f t="shared" ca="1" si="13"/>
        <v>0.18329840391681662</v>
      </c>
      <c r="J61" s="90">
        <f t="shared" ca="1" si="14"/>
        <v>0.14827007892831295</v>
      </c>
      <c r="K61" s="167">
        <f t="shared" ca="1" si="15"/>
        <v>0.11993566684511234</v>
      </c>
      <c r="M61" s="48">
        <f t="shared" ca="1" si="16"/>
        <v>322.54189215920985</v>
      </c>
      <c r="N61" s="171">
        <f t="shared" ca="1" si="17"/>
        <v>9.8887349880191121E-5</v>
      </c>
    </row>
    <row r="62" spans="1:14" ht="12.75">
      <c r="A62" s="162">
        <f t="shared" ca="1" si="5"/>
        <v>321.64999999999998</v>
      </c>
      <c r="B62" s="162">
        <f t="shared" ca="1" si="6"/>
        <v>0.86040000000000005</v>
      </c>
      <c r="C62" s="43">
        <f t="shared" ca="1" si="7"/>
        <v>0.74028816000000008</v>
      </c>
      <c r="D62" s="43">
        <f t="shared" ca="1" si="8"/>
        <v>0.63694393286400008</v>
      </c>
      <c r="E62" s="90">
        <f t="shared" ca="1" si="9"/>
        <v>0.54802655983618576</v>
      </c>
      <c r="F62" s="90">
        <f t="shared" ca="1" si="10"/>
        <v>0.47152205208305425</v>
      </c>
      <c r="G62" s="90">
        <f t="shared" ca="1" si="11"/>
        <v>0.40569757361225989</v>
      </c>
      <c r="H62" s="90">
        <f t="shared" ca="1" si="12"/>
        <v>0.34906219233598845</v>
      </c>
      <c r="I62" s="90">
        <f t="shared" ca="1" si="13"/>
        <v>0.3003331102858845</v>
      </c>
      <c r="J62" s="90">
        <f t="shared" ca="1" si="14"/>
        <v>0.25840660808997507</v>
      </c>
      <c r="K62" s="167">
        <f t="shared" ca="1" si="15"/>
        <v>0.22233304560061454</v>
      </c>
      <c r="M62" s="48">
        <f t="shared" ca="1" si="16"/>
        <v>321.63445432636513</v>
      </c>
      <c r="N62" s="171">
        <f t="shared" ca="1" si="17"/>
        <v>4.833102327015991E-5</v>
      </c>
    </row>
    <row r="63" spans="1:14" ht="12.75">
      <c r="A63" s="162">
        <f t="shared" ca="1" si="5"/>
        <v>320.54999999999995</v>
      </c>
      <c r="B63" s="162">
        <f t="shared" ca="1" si="6"/>
        <v>0.93020000000000003</v>
      </c>
      <c r="C63" s="43">
        <f t="shared" ca="1" si="7"/>
        <v>0.86527204000000002</v>
      </c>
      <c r="D63" s="43">
        <f t="shared" ca="1" si="8"/>
        <v>0.80487605160800002</v>
      </c>
      <c r="E63" s="90">
        <f t="shared" ca="1" si="9"/>
        <v>0.74869570320576162</v>
      </c>
      <c r="F63" s="90">
        <f t="shared" ca="1" si="10"/>
        <v>0.69643674312199944</v>
      </c>
      <c r="G63" s="90">
        <f t="shared" ca="1" si="11"/>
        <v>0.64782545845208395</v>
      </c>
      <c r="H63" s="90">
        <f t="shared" ca="1" si="12"/>
        <v>0.60260724145212841</v>
      </c>
      <c r="I63" s="90">
        <f t="shared" ca="1" si="13"/>
        <v>0.56054525599876992</v>
      </c>
      <c r="J63" s="90">
        <f t="shared" ca="1" si="14"/>
        <v>0.5214191971300558</v>
      </c>
      <c r="K63" s="167">
        <f t="shared" ca="1" si="15"/>
        <v>0.4850241371703779</v>
      </c>
      <c r="M63" s="48">
        <f t="shared" ca="1" si="16"/>
        <v>320.55249614781508</v>
      </c>
      <c r="N63" s="171">
        <f t="shared" ca="1" si="17"/>
        <v>7.7870778821483099E-6</v>
      </c>
    </row>
    <row r="64" spans="1:14" ht="12.75">
      <c r="A64" s="162">
        <f t="shared" ca="1" si="5"/>
        <v>319.45</v>
      </c>
      <c r="B64" s="162">
        <f t="shared" ca="1" si="6"/>
        <v>1</v>
      </c>
      <c r="C64" s="43">
        <f t="shared" ca="1" si="7"/>
        <v>1</v>
      </c>
      <c r="D64" s="43">
        <f t="shared" ca="1" si="8"/>
        <v>1</v>
      </c>
      <c r="E64" s="90">
        <f t="shared" ca="1" si="9"/>
        <v>1</v>
      </c>
      <c r="F64" s="90">
        <f t="shared" ca="1" si="10"/>
        <v>1</v>
      </c>
      <c r="G64" s="90">
        <f t="shared" ca="1" si="11"/>
        <v>1</v>
      </c>
      <c r="H64" s="90">
        <f t="shared" ca="1" si="12"/>
        <v>1</v>
      </c>
      <c r="I64" s="90">
        <f t="shared" ca="1" si="13"/>
        <v>1</v>
      </c>
      <c r="J64" s="90">
        <f t="shared" ca="1" si="14"/>
        <v>1</v>
      </c>
      <c r="K64" s="167">
        <f t="shared" ca="1" si="15"/>
        <v>1</v>
      </c>
      <c r="M64" s="48">
        <f t="shared" ca="1" si="16"/>
        <v>319.44981537944977</v>
      </c>
      <c r="N64" s="171">
        <f t="shared" ca="1" si="17"/>
        <v>5.7793254097583764E-7</v>
      </c>
    </row>
    <row r="65" spans="1:12" ht="12.75">
      <c r="A65" s="35">
        <f t="shared" si="5"/>
        <v>0</v>
      </c>
    </row>
    <row r="66" spans="1:12" ht="12.75">
      <c r="A66" s="35" t="s">
        <v>212</v>
      </c>
    </row>
    <row r="67" spans="1:12" ht="12.75">
      <c r="A67" s="35"/>
      <c r="B67" s="152" t="s">
        <v>213</v>
      </c>
      <c r="C67" s="152" t="s">
        <v>214</v>
      </c>
      <c r="D67" s="152" t="s">
        <v>215</v>
      </c>
      <c r="E67" s="152" t="s">
        <v>216</v>
      </c>
      <c r="F67" s="152" t="s">
        <v>217</v>
      </c>
      <c r="G67" s="152" t="s">
        <v>218</v>
      </c>
      <c r="H67" s="152" t="s">
        <v>219</v>
      </c>
      <c r="I67" s="152" t="s">
        <v>220</v>
      </c>
      <c r="J67" s="152" t="s">
        <v>221</v>
      </c>
      <c r="K67" s="152" t="s">
        <v>222</v>
      </c>
      <c r="L67" s="152" t="s">
        <v>223</v>
      </c>
    </row>
    <row r="68" spans="1:12" ht="12.75">
      <c r="A68" s="35"/>
      <c r="B68" s="43">
        <f t="array" aca="1" ref="B68:L68" ca="1">LINEST(A44:A64,B44:K64)</f>
        <v>657.25827686969058</v>
      </c>
      <c r="C68" s="43">
        <f ca="1"/>
        <v>-2961.8674902232733</v>
      </c>
      <c r="D68" s="43">
        <f ca="1"/>
        <v>4182.576787666263</v>
      </c>
      <c r="E68" s="43">
        <f ca="1"/>
        <v>0</v>
      </c>
      <c r="F68" s="43">
        <f ca="1"/>
        <v>-6079.2157853776171</v>
      </c>
      <c r="G68" s="43">
        <f ca="1"/>
        <v>7080.6077741681747</v>
      </c>
      <c r="H68" s="43">
        <f ca="1"/>
        <v>-3780.4360510216966</v>
      </c>
      <c r="I68" s="43">
        <f ca="1"/>
        <v>999.992581927424</v>
      </c>
      <c r="J68" s="43">
        <f ca="1"/>
        <v>-71.77339707147479</v>
      </c>
      <c r="K68" s="43">
        <f ca="1"/>
        <v>-57.524894587667369</v>
      </c>
      <c r="L68" s="43">
        <f ca="1"/>
        <v>349.83201302962595</v>
      </c>
    </row>
    <row r="69" spans="1:12" ht="12.75">
      <c r="A69" s="35"/>
    </row>
    <row r="70" spans="1:12" ht="12.75">
      <c r="A70" s="35" t="s">
        <v>224</v>
      </c>
    </row>
    <row r="71" spans="1:12" ht="12.75">
      <c r="A71" s="35"/>
    </row>
    <row r="72" spans="1:12" ht="12.75">
      <c r="A72" s="35"/>
      <c r="B72" s="233">
        <f t="array" aca="1" ref="B72:L76" ca="1">LINEST(A44:A64,B44:K64,TRUE(),TRUE())</f>
        <v>657.25827686969058</v>
      </c>
      <c r="C72" s="233">
        <f ca="1"/>
        <v>-2961.8674902232733</v>
      </c>
      <c r="D72" s="233">
        <f ca="1"/>
        <v>4182.576787666263</v>
      </c>
      <c r="E72" s="233">
        <f ca="1"/>
        <v>0</v>
      </c>
      <c r="F72" s="233">
        <f ca="1"/>
        <v>-6079.2157853776171</v>
      </c>
      <c r="G72" s="233">
        <f ca="1"/>
        <v>7080.6077741681747</v>
      </c>
      <c r="H72" s="233">
        <f ca="1"/>
        <v>-3780.4360510216966</v>
      </c>
      <c r="I72" s="233">
        <f ca="1"/>
        <v>999.992581927424</v>
      </c>
      <c r="J72" s="233">
        <f ca="1"/>
        <v>-71.77339707147479</v>
      </c>
      <c r="K72" s="233">
        <f ca="1"/>
        <v>-57.524894587667369</v>
      </c>
      <c r="L72" s="233">
        <f ca="1"/>
        <v>349.83201302962595</v>
      </c>
    </row>
    <row r="73" spans="1:12" ht="12.75">
      <c r="A73" s="35"/>
      <c r="B73" s="233">
        <f ca="1"/>
        <v>1726.1519313665349</v>
      </c>
      <c r="C73" s="233">
        <f ca="1"/>
        <v>6009.2637017882207</v>
      </c>
      <c r="D73" s="233">
        <f ca="1"/>
        <v>6705.7061278042665</v>
      </c>
      <c r="E73" s="233">
        <f ca="1"/>
        <v>0</v>
      </c>
      <c r="F73" s="233">
        <f ca="1"/>
        <v>6340.1050982459237</v>
      </c>
      <c r="G73" s="233">
        <f ca="1"/>
        <v>6041.0877307978135</v>
      </c>
      <c r="H73" s="233">
        <f ca="1"/>
        <v>2677.3149442744475</v>
      </c>
      <c r="I73" s="233">
        <f ca="1"/>
        <v>622.43809620803052</v>
      </c>
      <c r="J73" s="233">
        <f ca="1"/>
        <v>72.123715915989806</v>
      </c>
      <c r="K73" s="233">
        <f ca="1"/>
        <v>3.4924224931314161</v>
      </c>
      <c r="L73" s="233">
        <f ca="1"/>
        <v>5.1064986683336991E-2</v>
      </c>
    </row>
    <row r="74" spans="1:12" ht="12.75">
      <c r="A74" s="35"/>
      <c r="B74" s="235">
        <f ca="1"/>
        <v>0.99998481539008388</v>
      </c>
      <c r="C74" s="236">
        <f ca="1"/>
        <v>5.6849836796356967E-2</v>
      </c>
      <c r="D74" s="198" t="e">
        <f ca="1"/>
        <v>#N/A</v>
      </c>
      <c r="E74" s="198" t="e">
        <f ca="1"/>
        <v>#N/A</v>
      </c>
      <c r="F74" s="198" t="e">
        <f ca="1"/>
        <v>#N/A</v>
      </c>
      <c r="G74" s="198" t="e">
        <f ca="1"/>
        <v>#N/A</v>
      </c>
      <c r="H74" s="198" t="e">
        <f ca="1"/>
        <v>#N/A</v>
      </c>
      <c r="I74" s="198" t="e">
        <f ca="1"/>
        <v>#N/A</v>
      </c>
      <c r="J74" s="198" t="e">
        <f ca="1"/>
        <v>#N/A</v>
      </c>
      <c r="K74" s="198" t="e">
        <f ca="1"/>
        <v>#N/A</v>
      </c>
      <c r="L74" s="198" t="e">
        <f ca="1"/>
        <v>#N/A</v>
      </c>
    </row>
    <row r="75" spans="1:12" ht="12.75">
      <c r="A75" s="35"/>
      <c r="B75" s="236">
        <f ca="1"/>
        <v>80489.631936971447</v>
      </c>
      <c r="C75" s="236">
        <f ca="1"/>
        <v>11</v>
      </c>
      <c r="D75" s="198" t="e">
        <f ca="1"/>
        <v>#N/A</v>
      </c>
      <c r="E75" s="198" t="e">
        <f ca="1"/>
        <v>#N/A</v>
      </c>
      <c r="F75" s="198" t="e">
        <f ca="1"/>
        <v>#N/A</v>
      </c>
      <c r="G75" s="198" t="e">
        <f ca="1"/>
        <v>#N/A</v>
      </c>
      <c r="H75" s="198" t="e">
        <f ca="1"/>
        <v>#N/A</v>
      </c>
      <c r="I75" s="198" t="e">
        <f ca="1"/>
        <v>#N/A</v>
      </c>
      <c r="J75" s="198" t="e">
        <f ca="1"/>
        <v>#N/A</v>
      </c>
      <c r="K75" s="198" t="e">
        <f ca="1"/>
        <v>#N/A</v>
      </c>
      <c r="L75" s="198" t="e">
        <f ca="1"/>
        <v>#N/A</v>
      </c>
    </row>
    <row r="76" spans="1:12" ht="12.75">
      <c r="A76" s="35"/>
      <c r="B76" s="236">
        <f ca="1"/>
        <v>2341.2128300089989</v>
      </c>
      <c r="C76" s="236">
        <f ca="1"/>
        <v>3.5550943381496648E-2</v>
      </c>
      <c r="D76" s="198" t="e">
        <f ca="1"/>
        <v>#N/A</v>
      </c>
      <c r="E76" s="198" t="e">
        <f ca="1"/>
        <v>#N/A</v>
      </c>
      <c r="F76" s="198" t="e">
        <f ca="1"/>
        <v>#N/A</v>
      </c>
      <c r="G76" s="198" t="e">
        <f ca="1"/>
        <v>#N/A</v>
      </c>
      <c r="H76" s="198" t="e">
        <f ca="1"/>
        <v>#N/A</v>
      </c>
      <c r="I76" s="198" t="e">
        <f ca="1"/>
        <v>#N/A</v>
      </c>
      <c r="J76" s="198" t="e">
        <f ca="1"/>
        <v>#N/A</v>
      </c>
      <c r="K76" s="198" t="e">
        <f ca="1"/>
        <v>#N/A</v>
      </c>
      <c r="L76" s="198" t="e">
        <f ca="1"/>
        <v>#N/A</v>
      </c>
    </row>
    <row r="77" spans="1:12" ht="12.75">
      <c r="A77" s="35"/>
    </row>
    <row r="78" spans="1:12" ht="12.75">
      <c r="A78" s="35"/>
    </row>
    <row r="79" spans="1:12" ht="12.75">
      <c r="A79" s="35" t="s">
        <v>229</v>
      </c>
      <c r="B79" s="236" t="s">
        <v>213</v>
      </c>
      <c r="C79" s="236" t="s">
        <v>214</v>
      </c>
      <c r="D79" s="236" t="s">
        <v>215</v>
      </c>
      <c r="E79" s="236" t="s">
        <v>216</v>
      </c>
      <c r="F79" s="236" t="s">
        <v>217</v>
      </c>
      <c r="G79" s="236" t="s">
        <v>218</v>
      </c>
      <c r="H79" s="236" t="s">
        <v>219</v>
      </c>
      <c r="I79" s="236" t="s">
        <v>220</v>
      </c>
      <c r="J79" s="236" t="s">
        <v>221</v>
      </c>
      <c r="K79" s="236" t="s">
        <v>222</v>
      </c>
      <c r="L79" s="236" t="s">
        <v>223</v>
      </c>
    </row>
    <row r="80" spans="1:12" ht="12.75">
      <c r="A80" s="35" t="s">
        <v>230</v>
      </c>
      <c r="B80" s="236" t="s">
        <v>231</v>
      </c>
      <c r="C80" s="236" t="s">
        <v>232</v>
      </c>
      <c r="D80" s="236" t="s">
        <v>233</v>
      </c>
      <c r="E80" s="236" t="s">
        <v>234</v>
      </c>
      <c r="F80" s="236" t="s">
        <v>235</v>
      </c>
      <c r="G80" s="236" t="s">
        <v>236</v>
      </c>
      <c r="H80" s="236" t="s">
        <v>237</v>
      </c>
      <c r="I80" s="236" t="s">
        <v>238</v>
      </c>
      <c r="J80" s="236" t="s">
        <v>239</v>
      </c>
      <c r="K80" s="236" t="s">
        <v>240</v>
      </c>
      <c r="L80" s="236" t="s">
        <v>241</v>
      </c>
    </row>
    <row r="81" spans="1:14" ht="12.75">
      <c r="A81" s="35" t="s">
        <v>242</v>
      </c>
      <c r="B81" s="236" t="s">
        <v>243</v>
      </c>
      <c r="C81" s="236" t="s">
        <v>244</v>
      </c>
      <c r="D81" s="35" t="s">
        <v>245</v>
      </c>
    </row>
    <row r="82" spans="1:14" ht="12.75">
      <c r="A82" s="35" t="s">
        <v>246</v>
      </c>
      <c r="B82" s="236" t="s">
        <v>170</v>
      </c>
      <c r="C82" s="236" t="s">
        <v>247</v>
      </c>
      <c r="D82" s="35" t="s">
        <v>248</v>
      </c>
    </row>
    <row r="83" spans="1:14" ht="12.75">
      <c r="A83" s="35" t="s">
        <v>249</v>
      </c>
      <c r="B83" s="236" t="s">
        <v>250</v>
      </c>
      <c r="C83" s="236" t="s">
        <v>251</v>
      </c>
      <c r="D83" s="35" t="s">
        <v>252</v>
      </c>
    </row>
    <row r="84" spans="1:14" ht="12.75">
      <c r="A84" s="35"/>
    </row>
    <row r="85" spans="1:14" ht="12.75">
      <c r="A85" s="35"/>
    </row>
    <row r="86" spans="1:14" ht="12.75">
      <c r="A86" s="35"/>
    </row>
    <row r="87" spans="1:14">
      <c r="A87" s="150" t="s">
        <v>253</v>
      </c>
    </row>
    <row r="88" spans="1:14" ht="12.75">
      <c r="A88" s="35"/>
    </row>
    <row r="89" spans="1:14" ht="12.75">
      <c r="A89" s="152" t="s">
        <v>9</v>
      </c>
      <c r="B89" s="152" t="s">
        <v>8</v>
      </c>
      <c r="C89" s="152" t="s">
        <v>157</v>
      </c>
      <c r="D89" s="152" t="s">
        <v>158</v>
      </c>
      <c r="E89" s="152" t="s">
        <v>159</v>
      </c>
      <c r="F89" s="152" t="s">
        <v>160</v>
      </c>
      <c r="G89" s="152" t="s">
        <v>161</v>
      </c>
      <c r="H89" s="152" t="s">
        <v>162</v>
      </c>
      <c r="I89" s="152" t="s">
        <v>163</v>
      </c>
      <c r="J89" s="152" t="s">
        <v>164</v>
      </c>
      <c r="K89" s="152" t="s">
        <v>165</v>
      </c>
      <c r="M89" s="152" t="s">
        <v>254</v>
      </c>
      <c r="N89" s="152" t="s">
        <v>255</v>
      </c>
    </row>
    <row r="90" spans="1:14" ht="12.75">
      <c r="A90" s="24">
        <f t="shared" ref="A90:A110" ca="1" si="18">B10</f>
        <v>0</v>
      </c>
      <c r="B90" s="162">
        <f t="shared" ref="B90:B110" ca="1" si="19">A10</f>
        <v>0</v>
      </c>
      <c r="C90" s="43">
        <f t="shared" ref="C90:C110" ca="1" si="20">B90^2</f>
        <v>0</v>
      </c>
      <c r="D90" s="43">
        <f t="shared" ref="D90:D110" ca="1" si="21">B90^3</f>
        <v>0</v>
      </c>
      <c r="E90" s="90">
        <f t="shared" ref="E90:E110" ca="1" si="22">B90^4</f>
        <v>0</v>
      </c>
      <c r="F90" s="90">
        <f t="shared" ref="F90:F110" ca="1" si="23">B90^5</f>
        <v>0</v>
      </c>
      <c r="G90" s="90">
        <f t="shared" ref="G90:G110" ca="1" si="24">B90^6</f>
        <v>0</v>
      </c>
      <c r="H90" s="90">
        <f t="shared" ref="H90:H110" ca="1" si="25">B90^7</f>
        <v>0</v>
      </c>
      <c r="I90" s="90">
        <f t="shared" ref="I90:I110" ca="1" si="26">B90^8</f>
        <v>0</v>
      </c>
      <c r="J90" s="90">
        <f t="shared" ref="J90:J110" ca="1" si="27">B90^9</f>
        <v>0</v>
      </c>
      <c r="K90" s="167">
        <f t="shared" ref="K90:K110" ca="1" si="28">B90^10</f>
        <v>0</v>
      </c>
      <c r="M90" s="16">
        <f t="shared" ref="M90:M110" ca="1" si="29">m10y*B90^10+m9y*B90^9+m8y*B90^8+m7y*B90^7+m6y*B90^6+m5y*B90^5+m4y*B90^4+m3y*B90^3+m2y*B90^2+m1y*B90^1+mby</f>
        <v>1.1394919696843253E-3</v>
      </c>
      <c r="N90" s="248"/>
    </row>
    <row r="91" spans="1:14" ht="12.75">
      <c r="A91" s="24">
        <f t="shared" ca="1" si="18"/>
        <v>4.1200000000000001E-2</v>
      </c>
      <c r="B91" s="162">
        <f t="shared" ca="1" si="19"/>
        <v>1.4800000000000001E-2</v>
      </c>
      <c r="C91" s="43">
        <f t="shared" ca="1" si="20"/>
        <v>2.1904000000000002E-4</v>
      </c>
      <c r="D91" s="43">
        <f t="shared" ca="1" si="21"/>
        <v>3.2417920000000002E-6</v>
      </c>
      <c r="E91" s="90">
        <f t="shared" ca="1" si="22"/>
        <v>4.7978521600000009E-8</v>
      </c>
      <c r="F91" s="90">
        <f t="shared" ca="1" si="23"/>
        <v>7.1008211968000014E-10</v>
      </c>
      <c r="G91" s="90">
        <f t="shared" ca="1" si="24"/>
        <v>1.0509215371264003E-11</v>
      </c>
      <c r="H91" s="90">
        <f t="shared" ca="1" si="25"/>
        <v>1.5553638749470723E-13</v>
      </c>
      <c r="I91" s="90">
        <f t="shared" ca="1" si="26"/>
        <v>2.3019385349216673E-15</v>
      </c>
      <c r="J91" s="90">
        <f t="shared" ca="1" si="27"/>
        <v>3.4068690316840676E-17</v>
      </c>
      <c r="K91" s="167">
        <f t="shared" ca="1" si="28"/>
        <v>5.0421661668924208E-19</v>
      </c>
      <c r="M91" s="16">
        <f t="shared" ca="1" si="29"/>
        <v>4.0572282745545071E-2</v>
      </c>
      <c r="N91" s="248">
        <f t="shared" ref="N91:N110" ca="1" si="30">ABS(A91-M91)/A91</f>
        <v>1.5235855690653621E-2</v>
      </c>
    </row>
    <row r="92" spans="1:14" ht="12.75">
      <c r="A92" s="24">
        <f t="shared" ca="1" si="18"/>
        <v>8.2299999999999998E-2</v>
      </c>
      <c r="B92" s="162">
        <f t="shared" ca="1" si="19"/>
        <v>2.9600000000000001E-2</v>
      </c>
      <c r="C92" s="43">
        <f t="shared" ca="1" si="20"/>
        <v>8.7616000000000007E-4</v>
      </c>
      <c r="D92" s="43">
        <f t="shared" ca="1" si="21"/>
        <v>2.5934336000000002E-5</v>
      </c>
      <c r="E92" s="90">
        <f t="shared" ca="1" si="22"/>
        <v>7.6765634560000014E-7</v>
      </c>
      <c r="F92" s="90">
        <f t="shared" ca="1" si="23"/>
        <v>2.2722627829760004E-8</v>
      </c>
      <c r="G92" s="90">
        <f t="shared" ca="1" si="24"/>
        <v>6.7258978376089619E-10</v>
      </c>
      <c r="H92" s="90">
        <f t="shared" ca="1" si="25"/>
        <v>1.9908657599322526E-11</v>
      </c>
      <c r="I92" s="90">
        <f t="shared" ca="1" si="26"/>
        <v>5.8929626493994682E-13</v>
      </c>
      <c r="J92" s="90">
        <f t="shared" ca="1" si="27"/>
        <v>1.7443169442222426E-14</v>
      </c>
      <c r="K92" s="167">
        <f t="shared" ca="1" si="28"/>
        <v>5.1631781548978389E-16</v>
      </c>
      <c r="M92" s="16">
        <f t="shared" ca="1" si="29"/>
        <v>7.911610067327636E-2</v>
      </c>
      <c r="N92" s="248">
        <f t="shared" ca="1" si="30"/>
        <v>3.8686504577443964E-2</v>
      </c>
    </row>
    <row r="93" spans="1:14" ht="12.75">
      <c r="A93" s="24">
        <f t="shared" ca="1" si="18"/>
        <v>0.11890000000000001</v>
      </c>
      <c r="B93" s="162">
        <f t="shared" ca="1" si="19"/>
        <v>4.5600000000000002E-2</v>
      </c>
      <c r="C93" s="43">
        <f t="shared" ca="1" si="20"/>
        <v>2.0793600000000001E-3</v>
      </c>
      <c r="D93" s="43">
        <f t="shared" ca="1" si="21"/>
        <v>9.4818816000000005E-5</v>
      </c>
      <c r="E93" s="90">
        <f t="shared" ca="1" si="22"/>
        <v>4.3237380096000008E-6</v>
      </c>
      <c r="F93" s="90">
        <f t="shared" ca="1" si="23"/>
        <v>1.9716245323776004E-7</v>
      </c>
      <c r="G93" s="90">
        <f t="shared" ca="1" si="24"/>
        <v>8.9906078676418591E-9</v>
      </c>
      <c r="H93" s="90">
        <f t="shared" ca="1" si="25"/>
        <v>4.0997171876446875E-10</v>
      </c>
      <c r="I93" s="90">
        <f t="shared" ca="1" si="26"/>
        <v>1.8694710375659775E-11</v>
      </c>
      <c r="J93" s="90">
        <f t="shared" ca="1" si="27"/>
        <v>8.5247879313008582E-13</v>
      </c>
      <c r="K93" s="167">
        <f t="shared" ca="1" si="28"/>
        <v>3.8873032966731911E-14</v>
      </c>
      <c r="M93" s="16">
        <f t="shared" ca="1" si="29"/>
        <v>0.11944157594551219</v>
      </c>
      <c r="N93" s="248">
        <f t="shared" ca="1" si="30"/>
        <v>4.5548860009435232E-3</v>
      </c>
    </row>
    <row r="94" spans="1:14" ht="12.75">
      <c r="A94" s="24">
        <f t="shared" ca="1" si="18"/>
        <v>0.1555</v>
      </c>
      <c r="B94" s="162">
        <f t="shared" ca="1" si="19"/>
        <v>6.1499999999999999E-2</v>
      </c>
      <c r="C94" s="43">
        <f t="shared" ca="1" si="20"/>
        <v>3.78225E-3</v>
      </c>
      <c r="D94" s="43">
        <f t="shared" ca="1" si="21"/>
        <v>2.32608375E-4</v>
      </c>
      <c r="E94" s="90">
        <f t="shared" ca="1" si="22"/>
        <v>1.4305415062499999E-5</v>
      </c>
      <c r="F94" s="90">
        <f t="shared" ca="1" si="23"/>
        <v>8.7978302634374998E-7</v>
      </c>
      <c r="G94" s="90">
        <f t="shared" ca="1" si="24"/>
        <v>5.4106656120140624E-8</v>
      </c>
      <c r="H94" s="90">
        <f t="shared" ca="1" si="25"/>
        <v>3.3275593513886483E-9</v>
      </c>
      <c r="I94" s="90">
        <f t="shared" ca="1" si="26"/>
        <v>2.0464490011040187E-10</v>
      </c>
      <c r="J94" s="90">
        <f t="shared" ca="1" si="27"/>
        <v>1.2585661356789715E-11</v>
      </c>
      <c r="K94" s="167">
        <f t="shared" ca="1" si="28"/>
        <v>7.7401817344256746E-13</v>
      </c>
      <c r="M94" s="16">
        <f t="shared" ca="1" si="29"/>
        <v>0.15788022878903482</v>
      </c>
      <c r="N94" s="248">
        <f t="shared" ca="1" si="30"/>
        <v>1.5306937550063163E-2</v>
      </c>
    </row>
    <row r="95" spans="1:14" ht="12.75">
      <c r="A95" s="24">
        <f t="shared" ca="1" si="18"/>
        <v>0.21079999999999999</v>
      </c>
      <c r="B95" s="162">
        <f t="shared" ca="1" si="19"/>
        <v>8.6099999999999996E-2</v>
      </c>
      <c r="C95" s="43">
        <f t="shared" ca="1" si="20"/>
        <v>7.4132099999999991E-3</v>
      </c>
      <c r="D95" s="43">
        <f t="shared" ca="1" si="21"/>
        <v>6.3827738099999992E-4</v>
      </c>
      <c r="E95" s="90">
        <f t="shared" ca="1" si="22"/>
        <v>5.4955682504099987E-5</v>
      </c>
      <c r="F95" s="90">
        <f t="shared" ca="1" si="23"/>
        <v>4.7316842636030088E-6</v>
      </c>
      <c r="G95" s="90">
        <f t="shared" ca="1" si="24"/>
        <v>4.0739801509621903E-7</v>
      </c>
      <c r="H95" s="90">
        <f t="shared" ca="1" si="25"/>
        <v>3.5076969099784455E-8</v>
      </c>
      <c r="I95" s="90">
        <f t="shared" ca="1" si="26"/>
        <v>3.0201270394914415E-9</v>
      </c>
      <c r="J95" s="90">
        <f t="shared" ca="1" si="27"/>
        <v>2.6003293810021309E-10</v>
      </c>
      <c r="K95" s="167">
        <f t="shared" ca="1" si="28"/>
        <v>2.2388835970428348E-11</v>
      </c>
      <c r="M95" s="16">
        <f t="shared" ca="1" si="29"/>
        <v>0.21378988358545961</v>
      </c>
      <c r="N95" s="248">
        <f t="shared" ca="1" si="30"/>
        <v>1.4183508469922316E-2</v>
      </c>
    </row>
    <row r="96" spans="1:14" ht="12.75">
      <c r="A96" s="24">
        <f t="shared" ca="1" si="18"/>
        <v>0.26600000000000001</v>
      </c>
      <c r="B96" s="162">
        <f t="shared" ca="1" si="19"/>
        <v>0.1106</v>
      </c>
      <c r="C96" s="43">
        <f t="shared" ca="1" si="20"/>
        <v>1.2232360000000001E-2</v>
      </c>
      <c r="D96" s="43">
        <f t="shared" ca="1" si="21"/>
        <v>1.3528990160000002E-3</v>
      </c>
      <c r="E96" s="90">
        <f t="shared" ca="1" si="22"/>
        <v>1.4963063116960003E-4</v>
      </c>
      <c r="F96" s="90">
        <f t="shared" ca="1" si="23"/>
        <v>1.6549147807357764E-5</v>
      </c>
      <c r="G96" s="90">
        <f t="shared" ca="1" si="24"/>
        <v>1.8303357474937688E-6</v>
      </c>
      <c r="H96" s="90">
        <f t="shared" ca="1" si="25"/>
        <v>2.0243513367281085E-7</v>
      </c>
      <c r="I96" s="90">
        <f t="shared" ca="1" si="26"/>
        <v>2.2389325784212878E-8</v>
      </c>
      <c r="J96" s="90">
        <f t="shared" ca="1" si="27"/>
        <v>2.4762594317339443E-9</v>
      </c>
      <c r="K96" s="167">
        <f t="shared" ca="1" si="28"/>
        <v>2.7387429314977426E-10</v>
      </c>
      <c r="M96" s="16">
        <f t="shared" ca="1" si="29"/>
        <v>0.26499258586810748</v>
      </c>
      <c r="N96" s="248">
        <f t="shared" ca="1" si="30"/>
        <v>3.7872711725283332E-3</v>
      </c>
    </row>
    <row r="97" spans="1:14" ht="12.75">
      <c r="A97" s="24">
        <f t="shared" ca="1" si="18"/>
        <v>0.33250000000000002</v>
      </c>
      <c r="B97" s="162">
        <f t="shared" ca="1" si="19"/>
        <v>0.14349999999999999</v>
      </c>
      <c r="C97" s="43">
        <f t="shared" ca="1" si="20"/>
        <v>2.0592249999999996E-2</v>
      </c>
      <c r="D97" s="43">
        <f t="shared" ca="1" si="21"/>
        <v>2.9549878749999992E-3</v>
      </c>
      <c r="E97" s="90">
        <f t="shared" ca="1" si="22"/>
        <v>4.2404076006249985E-4</v>
      </c>
      <c r="F97" s="90">
        <f t="shared" ca="1" si="23"/>
        <v>6.0849849068968725E-5</v>
      </c>
      <c r="G97" s="90">
        <f t="shared" ca="1" si="24"/>
        <v>8.7319533413970107E-6</v>
      </c>
      <c r="H97" s="90">
        <f t="shared" ca="1" si="25"/>
        <v>1.2530353044904709E-6</v>
      </c>
      <c r="I97" s="90">
        <f t="shared" ca="1" si="26"/>
        <v>1.7981056619438256E-7</v>
      </c>
      <c r="J97" s="90">
        <f t="shared" ca="1" si="27"/>
        <v>2.5802816248893895E-8</v>
      </c>
      <c r="K97" s="167">
        <f t="shared" ca="1" si="28"/>
        <v>3.7027041317162733E-9</v>
      </c>
      <c r="M97" s="16">
        <f t="shared" ca="1" si="29"/>
        <v>0.32689040357463267</v>
      </c>
      <c r="N97" s="248">
        <f t="shared" ca="1" si="30"/>
        <v>1.6870966692834125E-2</v>
      </c>
    </row>
    <row r="98" spans="1:14" ht="12.75">
      <c r="A98" s="24">
        <f t="shared" ca="1" si="18"/>
        <v>0.4138</v>
      </c>
      <c r="B98" s="162">
        <f t="shared" ca="1" si="19"/>
        <v>0.20100000000000001</v>
      </c>
      <c r="C98" s="43">
        <f t="shared" ca="1" si="20"/>
        <v>4.0401000000000006E-2</v>
      </c>
      <c r="D98" s="43">
        <f t="shared" ca="1" si="21"/>
        <v>8.1206010000000016E-3</v>
      </c>
      <c r="E98" s="90">
        <f t="shared" ca="1" si="22"/>
        <v>1.6322408010000006E-3</v>
      </c>
      <c r="F98" s="90">
        <f t="shared" ca="1" si="23"/>
        <v>3.2808040100100011E-4</v>
      </c>
      <c r="G98" s="90">
        <f t="shared" ca="1" si="24"/>
        <v>6.594416060120103E-5</v>
      </c>
      <c r="H98" s="90">
        <f t="shared" ca="1" si="25"/>
        <v>1.3254776280841409E-5</v>
      </c>
      <c r="I98" s="90">
        <f t="shared" ca="1" si="26"/>
        <v>2.6642100324491234E-6</v>
      </c>
      <c r="J98" s="90">
        <f t="shared" ca="1" si="27"/>
        <v>5.3550621652227384E-7</v>
      </c>
      <c r="K98" s="167">
        <f t="shared" ca="1" si="28"/>
        <v>1.0763674952097705E-7</v>
      </c>
      <c r="M98" s="16">
        <f t="shared" ca="1" si="29"/>
        <v>0.41852457305450569</v>
      </c>
      <c r="N98" s="248">
        <f t="shared" ca="1" si="30"/>
        <v>1.1417527922923363E-2</v>
      </c>
    </row>
    <row r="99" spans="1:14" ht="12.75">
      <c r="A99" s="24">
        <f t="shared" ca="1" si="18"/>
        <v>0.495</v>
      </c>
      <c r="B99" s="162">
        <f t="shared" ca="1" si="19"/>
        <v>0.25850000000000001</v>
      </c>
      <c r="C99" s="43">
        <f t="shared" ca="1" si="20"/>
        <v>6.682225E-2</v>
      </c>
      <c r="D99" s="43">
        <f t="shared" ca="1" si="21"/>
        <v>1.7273551625000001E-2</v>
      </c>
      <c r="E99" s="90">
        <f t="shared" ca="1" si="22"/>
        <v>4.4652130950624995E-3</v>
      </c>
      <c r="F99" s="90">
        <f t="shared" ca="1" si="23"/>
        <v>1.1542575850736561E-3</v>
      </c>
      <c r="G99" s="90">
        <f t="shared" ca="1" si="24"/>
        <v>2.983755857415401E-4</v>
      </c>
      <c r="H99" s="90">
        <f t="shared" ca="1" si="25"/>
        <v>7.7130088914188121E-5</v>
      </c>
      <c r="I99" s="90">
        <f t="shared" ca="1" si="26"/>
        <v>1.9938127984317627E-5</v>
      </c>
      <c r="J99" s="90">
        <f t="shared" ca="1" si="27"/>
        <v>5.1540060839461064E-6</v>
      </c>
      <c r="K99" s="167">
        <f t="shared" ca="1" si="28"/>
        <v>1.3323105727000684E-6</v>
      </c>
      <c r="M99" s="16">
        <f t="shared" ca="1" si="29"/>
        <v>0.49408169372835808</v>
      </c>
      <c r="N99" s="248">
        <f t="shared" ca="1" si="30"/>
        <v>1.8551641851351738E-3</v>
      </c>
    </row>
    <row r="100" spans="1:14" ht="12.75">
      <c r="A100" s="24">
        <f t="shared" ca="1" si="18"/>
        <v>0.63400000000000001</v>
      </c>
      <c r="B100" s="162">
        <f t="shared" ca="1" si="19"/>
        <v>0.39079999999999998</v>
      </c>
      <c r="C100" s="43">
        <f t="shared" ca="1" si="20"/>
        <v>0.15272463999999999</v>
      </c>
      <c r="D100" s="43">
        <f t="shared" ca="1" si="21"/>
        <v>5.9684789311999997E-2</v>
      </c>
      <c r="E100" s="90">
        <f t="shared" ca="1" si="22"/>
        <v>2.3324815663129599E-2</v>
      </c>
      <c r="F100" s="90">
        <f t="shared" ca="1" si="23"/>
        <v>9.115337961151047E-3</v>
      </c>
      <c r="G100" s="90">
        <f t="shared" ca="1" si="24"/>
        <v>3.5622740752178292E-3</v>
      </c>
      <c r="H100" s="90">
        <f t="shared" ca="1" si="25"/>
        <v>1.3921367085951277E-3</v>
      </c>
      <c r="I100" s="90">
        <f t="shared" ca="1" si="26"/>
        <v>5.4404702571897586E-4</v>
      </c>
      <c r="J100" s="90">
        <f t="shared" ca="1" si="27"/>
        <v>2.1261357765097575E-4</v>
      </c>
      <c r="K100" s="167">
        <f t="shared" ca="1" si="28"/>
        <v>8.3089386146001327E-5</v>
      </c>
      <c r="M100" s="16">
        <f t="shared" ca="1" si="29"/>
        <v>0.63218262865048502</v>
      </c>
      <c r="N100" s="248">
        <f t="shared" ca="1" si="30"/>
        <v>2.8665163241561272E-3</v>
      </c>
    </row>
    <row r="101" spans="1:14" ht="12.75">
      <c r="A101" s="24">
        <f t="shared" ca="1" si="18"/>
        <v>0.6905</v>
      </c>
      <c r="B101" s="162">
        <f t="shared" ca="1" si="19"/>
        <v>0.46129999999999999</v>
      </c>
      <c r="C101" s="43">
        <f t="shared" ca="1" si="20"/>
        <v>0.21279768999999998</v>
      </c>
      <c r="D101" s="43">
        <f t="shared" ca="1" si="21"/>
        <v>9.8163574396999992E-2</v>
      </c>
      <c r="E101" s="90">
        <f t="shared" ca="1" si="22"/>
        <v>4.5282856869336092E-2</v>
      </c>
      <c r="F101" s="90">
        <f t="shared" ca="1" si="23"/>
        <v>2.0888981873824739E-2</v>
      </c>
      <c r="G101" s="90">
        <f t="shared" ca="1" si="24"/>
        <v>9.6360873383953514E-3</v>
      </c>
      <c r="H101" s="90">
        <f t="shared" ca="1" si="25"/>
        <v>4.4451270892017754E-3</v>
      </c>
      <c r="I101" s="90">
        <f t="shared" ca="1" si="26"/>
        <v>2.0505371262487791E-3</v>
      </c>
      <c r="J101" s="90">
        <f t="shared" ca="1" si="27"/>
        <v>9.4591277633856172E-4</v>
      </c>
      <c r="K101" s="167">
        <f t="shared" ca="1" si="28"/>
        <v>4.3634956372497853E-4</v>
      </c>
      <c r="M101" s="16">
        <f t="shared" ca="1" si="29"/>
        <v>0.69275296414894494</v>
      </c>
      <c r="N101" s="248">
        <f t="shared" ca="1" si="30"/>
        <v>3.2628010846414714E-3</v>
      </c>
    </row>
    <row r="102" spans="1:14" ht="12.75">
      <c r="A102" s="24">
        <f t="shared" ca="1" si="18"/>
        <v>0.747</v>
      </c>
      <c r="B102" s="162">
        <f t="shared" ca="1" si="19"/>
        <v>0.53180000000000005</v>
      </c>
      <c r="C102" s="43">
        <f t="shared" ca="1" si="20"/>
        <v>0.28281124000000007</v>
      </c>
      <c r="D102" s="43">
        <f t="shared" ca="1" si="21"/>
        <v>0.15039901743200004</v>
      </c>
      <c r="E102" s="90">
        <f t="shared" ca="1" si="22"/>
        <v>7.9982197470337649E-2</v>
      </c>
      <c r="F102" s="90">
        <f t="shared" ca="1" si="23"/>
        <v>4.2534532614725569E-2</v>
      </c>
      <c r="G102" s="90">
        <f t="shared" ca="1" si="24"/>
        <v>2.261986444451106E-2</v>
      </c>
      <c r="H102" s="90">
        <f t="shared" ca="1" si="25"/>
        <v>1.2029243911590982E-2</v>
      </c>
      <c r="I102" s="90">
        <f t="shared" ca="1" si="26"/>
        <v>6.3971519121840863E-3</v>
      </c>
      <c r="J102" s="90">
        <f t="shared" ca="1" si="27"/>
        <v>3.4020053868994973E-3</v>
      </c>
      <c r="K102" s="167">
        <f t="shared" ca="1" si="28"/>
        <v>1.809186464753153E-3</v>
      </c>
      <c r="M102" s="16">
        <f t="shared" ca="1" si="29"/>
        <v>0.74578472477144164</v>
      </c>
      <c r="N102" s="248">
        <f t="shared" ca="1" si="30"/>
        <v>1.6268744692882926E-3</v>
      </c>
    </row>
    <row r="103" spans="1:14" ht="12.75">
      <c r="A103" s="24">
        <f t="shared" ca="1" si="18"/>
        <v>0.78800000000000003</v>
      </c>
      <c r="B103" s="162">
        <f t="shared" ca="1" si="19"/>
        <v>0.59740000000000004</v>
      </c>
      <c r="C103" s="43">
        <f t="shared" ca="1" si="20"/>
        <v>0.35688676000000003</v>
      </c>
      <c r="D103" s="43">
        <f t="shared" ca="1" si="21"/>
        <v>0.21320415042400004</v>
      </c>
      <c r="E103" s="90">
        <f t="shared" ca="1" si="22"/>
        <v>0.12736815946329763</v>
      </c>
      <c r="F103" s="90">
        <f t="shared" ca="1" si="23"/>
        <v>7.608973846337401E-2</v>
      </c>
      <c r="G103" s="90">
        <f t="shared" ca="1" si="24"/>
        <v>4.5456009758019632E-2</v>
      </c>
      <c r="H103" s="90">
        <f t="shared" ca="1" si="25"/>
        <v>2.7155420229440931E-2</v>
      </c>
      <c r="I103" s="90">
        <f t="shared" ca="1" si="26"/>
        <v>1.6222648045068015E-2</v>
      </c>
      <c r="J103" s="90">
        <f t="shared" ca="1" si="27"/>
        <v>9.6914099421236324E-3</v>
      </c>
      <c r="K103" s="167">
        <f t="shared" ca="1" si="28"/>
        <v>5.7896482994246583E-3</v>
      </c>
      <c r="M103" s="16">
        <f t="shared" ca="1" si="29"/>
        <v>0.7890378893173764</v>
      </c>
      <c r="N103" s="248">
        <f t="shared" ca="1" si="30"/>
        <v>1.3171184230664486E-3</v>
      </c>
    </row>
    <row r="104" spans="1:14" ht="12.75">
      <c r="A104" s="24">
        <f t="shared" ca="1" si="18"/>
        <v>0.82899999999999996</v>
      </c>
      <c r="B104" s="162">
        <f t="shared" ca="1" si="19"/>
        <v>0.66300000000000003</v>
      </c>
      <c r="C104" s="43">
        <f t="shared" ca="1" si="20"/>
        <v>0.43956900000000004</v>
      </c>
      <c r="D104" s="43">
        <f t="shared" ca="1" si="21"/>
        <v>0.29143424700000004</v>
      </c>
      <c r="E104" s="90">
        <f t="shared" ca="1" si="22"/>
        <v>0.19322090576100004</v>
      </c>
      <c r="F104" s="90">
        <f t="shared" ca="1" si="23"/>
        <v>0.12810546051954302</v>
      </c>
      <c r="G104" s="90">
        <f t="shared" ca="1" si="24"/>
        <v>8.4933920324457041E-2</v>
      </c>
      <c r="H104" s="90">
        <f t="shared" ca="1" si="25"/>
        <v>5.6311189175115017E-2</v>
      </c>
      <c r="I104" s="90">
        <f t="shared" ca="1" si="26"/>
        <v>3.7334318423101261E-2</v>
      </c>
      <c r="J104" s="90">
        <f t="shared" ca="1" si="27"/>
        <v>2.4752653114516136E-2</v>
      </c>
      <c r="K104" s="167">
        <f t="shared" ca="1" si="28"/>
        <v>1.6411009014924198E-2</v>
      </c>
      <c r="M104" s="16">
        <f t="shared" ca="1" si="29"/>
        <v>0.82771447258806541</v>
      </c>
      <c r="N104" s="248">
        <f t="shared" ca="1" si="30"/>
        <v>1.5506965162057306E-3</v>
      </c>
    </row>
    <row r="105" spans="1:14" ht="12.75">
      <c r="A105" s="24">
        <f t="shared" ca="1" si="18"/>
        <v>0.85350000000000004</v>
      </c>
      <c r="B105" s="162">
        <f t="shared" ca="1" si="19"/>
        <v>0.71020000000000005</v>
      </c>
      <c r="C105" s="43">
        <f t="shared" ca="1" si="20"/>
        <v>0.50438404000000003</v>
      </c>
      <c r="D105" s="43">
        <f t="shared" ca="1" si="21"/>
        <v>0.35821354520800003</v>
      </c>
      <c r="E105" s="90">
        <f t="shared" ca="1" si="22"/>
        <v>0.25440325980672163</v>
      </c>
      <c r="F105" s="90">
        <f t="shared" ca="1" si="23"/>
        <v>0.18067719511473371</v>
      </c>
      <c r="G105" s="90">
        <f t="shared" ca="1" si="24"/>
        <v>0.12831694397048388</v>
      </c>
      <c r="H105" s="90">
        <f t="shared" ca="1" si="25"/>
        <v>9.1130693607837654E-2</v>
      </c>
      <c r="I105" s="90">
        <f t="shared" ca="1" si="26"/>
        <v>6.4721018600286298E-2</v>
      </c>
      <c r="J105" s="90">
        <f t="shared" ca="1" si="27"/>
        <v>4.5964867409923331E-2</v>
      </c>
      <c r="K105" s="167">
        <f t="shared" ca="1" si="28"/>
        <v>3.2644248834527552E-2</v>
      </c>
      <c r="M105" s="16">
        <f t="shared" ca="1" si="29"/>
        <v>0.85364196136494219</v>
      </c>
      <c r="N105" s="248">
        <f t="shared" ca="1" si="30"/>
        <v>1.6632848850867702E-4</v>
      </c>
    </row>
    <row r="106" spans="1:14" ht="12.75">
      <c r="A106" s="24">
        <f t="shared" ca="1" si="18"/>
        <v>0.878</v>
      </c>
      <c r="B106" s="162">
        <f t="shared" ca="1" si="19"/>
        <v>0.75739999999999996</v>
      </c>
      <c r="C106" s="43">
        <f t="shared" ca="1" si="20"/>
        <v>0.57365475999999993</v>
      </c>
      <c r="D106" s="43">
        <f t="shared" ca="1" si="21"/>
        <v>0.43448611522399994</v>
      </c>
      <c r="E106" s="90">
        <f t="shared" ca="1" si="22"/>
        <v>0.32907978367065754</v>
      </c>
      <c r="F106" s="90">
        <f t="shared" ca="1" si="23"/>
        <v>0.24924502815215602</v>
      </c>
      <c r="G106" s="90">
        <f t="shared" ca="1" si="24"/>
        <v>0.18877818432244295</v>
      </c>
      <c r="H106" s="90">
        <f t="shared" ca="1" si="25"/>
        <v>0.14298059680581829</v>
      </c>
      <c r="I106" s="90">
        <f t="shared" ca="1" si="26"/>
        <v>0.10829350402072677</v>
      </c>
      <c r="J106" s="90">
        <f t="shared" ca="1" si="27"/>
        <v>8.2021499945298448E-2</v>
      </c>
      <c r="K106" s="167">
        <f t="shared" ca="1" si="28"/>
        <v>6.2123084058569041E-2</v>
      </c>
      <c r="M106" s="16">
        <f t="shared" ca="1" si="29"/>
        <v>0.87862050662038893</v>
      </c>
      <c r="N106" s="248">
        <f t="shared" ca="1" si="30"/>
        <v>7.0672735807394938E-4</v>
      </c>
    </row>
    <row r="107" spans="1:14" ht="12.75">
      <c r="A107" s="24">
        <f t="shared" ca="1" si="18"/>
        <v>0.90500000000000003</v>
      </c>
      <c r="B107" s="162">
        <f t="shared" ca="1" si="19"/>
        <v>0.80889999999999995</v>
      </c>
      <c r="C107" s="43">
        <f t="shared" ca="1" si="20"/>
        <v>0.65431920999999993</v>
      </c>
      <c r="D107" s="43">
        <f t="shared" ca="1" si="21"/>
        <v>0.52927880896899993</v>
      </c>
      <c r="E107" s="90">
        <f t="shared" ca="1" si="22"/>
        <v>0.42813362857502402</v>
      </c>
      <c r="F107" s="90">
        <f t="shared" ca="1" si="23"/>
        <v>0.34631729215433693</v>
      </c>
      <c r="G107" s="90">
        <f t="shared" ca="1" si="24"/>
        <v>0.28013605762364313</v>
      </c>
      <c r="H107" s="90">
        <f t="shared" ca="1" si="25"/>
        <v>0.22660205701176492</v>
      </c>
      <c r="I107" s="90">
        <f t="shared" ca="1" si="26"/>
        <v>0.18329840391681662</v>
      </c>
      <c r="J107" s="90">
        <f t="shared" ca="1" si="27"/>
        <v>0.14827007892831295</v>
      </c>
      <c r="K107" s="167">
        <f t="shared" ca="1" si="28"/>
        <v>0.11993566684511234</v>
      </c>
      <c r="M107" s="16">
        <f t="shared" ca="1" si="29"/>
        <v>0.90523730629623955</v>
      </c>
      <c r="N107" s="248">
        <f t="shared" ca="1" si="30"/>
        <v>2.6221690192212771E-4</v>
      </c>
    </row>
    <row r="108" spans="1:14" ht="12.75">
      <c r="A108" s="24">
        <f t="shared" ca="1" si="18"/>
        <v>0.93200000000000005</v>
      </c>
      <c r="B108" s="162">
        <f t="shared" ca="1" si="19"/>
        <v>0.86040000000000005</v>
      </c>
      <c r="C108" s="43">
        <f t="shared" ca="1" si="20"/>
        <v>0.74028816000000008</v>
      </c>
      <c r="D108" s="43">
        <f t="shared" ca="1" si="21"/>
        <v>0.63694393286400008</v>
      </c>
      <c r="E108" s="90">
        <f t="shared" ca="1" si="22"/>
        <v>0.54802655983618576</v>
      </c>
      <c r="F108" s="90">
        <f t="shared" ca="1" si="23"/>
        <v>0.47152205208305425</v>
      </c>
      <c r="G108" s="90">
        <f t="shared" ca="1" si="24"/>
        <v>0.40569757361225989</v>
      </c>
      <c r="H108" s="90">
        <f t="shared" ca="1" si="25"/>
        <v>0.34906219233598845</v>
      </c>
      <c r="I108" s="90">
        <f t="shared" ca="1" si="26"/>
        <v>0.3003331102858845</v>
      </c>
      <c r="J108" s="90">
        <f t="shared" ca="1" si="27"/>
        <v>0.25840660808997507</v>
      </c>
      <c r="K108" s="167">
        <f t="shared" ca="1" si="28"/>
        <v>0.22233304560061454</v>
      </c>
      <c r="M108" s="16">
        <f t="shared" ca="1" si="29"/>
        <v>0.93140723194968</v>
      </c>
      <c r="N108" s="248">
        <f t="shared" ca="1" si="30"/>
        <v>6.3601722137344118E-4</v>
      </c>
    </row>
    <row r="109" spans="1:14" ht="12.75">
      <c r="A109" s="24">
        <f t="shared" ca="1" si="18"/>
        <v>0.96599999999999997</v>
      </c>
      <c r="B109" s="162">
        <f t="shared" ca="1" si="19"/>
        <v>0.93020000000000003</v>
      </c>
      <c r="C109" s="43">
        <f t="shared" ca="1" si="20"/>
        <v>0.86527204000000002</v>
      </c>
      <c r="D109" s="43">
        <f t="shared" ca="1" si="21"/>
        <v>0.80487605160800002</v>
      </c>
      <c r="E109" s="90">
        <f t="shared" ca="1" si="22"/>
        <v>0.74869570320576162</v>
      </c>
      <c r="F109" s="90">
        <f t="shared" ca="1" si="23"/>
        <v>0.69643674312199944</v>
      </c>
      <c r="G109" s="90">
        <f t="shared" ca="1" si="24"/>
        <v>0.64782545845208395</v>
      </c>
      <c r="H109" s="90">
        <f t="shared" ca="1" si="25"/>
        <v>0.60260724145212841</v>
      </c>
      <c r="I109" s="90">
        <f t="shared" ca="1" si="26"/>
        <v>0.56054525599876992</v>
      </c>
      <c r="J109" s="90">
        <f t="shared" ca="1" si="27"/>
        <v>0.5214191971300558</v>
      </c>
      <c r="K109" s="167">
        <f t="shared" ca="1" si="28"/>
        <v>0.4850241371703779</v>
      </c>
      <c r="M109" s="16">
        <f t="shared" ca="1" si="29"/>
        <v>0.9662230994285077</v>
      </c>
      <c r="N109" s="248">
        <f t="shared" ca="1" si="30"/>
        <v>2.3095178934548E-4</v>
      </c>
    </row>
    <row r="110" spans="1:14" ht="12.75">
      <c r="A110" s="24">
        <f t="shared" ca="1" si="18"/>
        <v>1</v>
      </c>
      <c r="B110" s="162">
        <f t="shared" ca="1" si="19"/>
        <v>1</v>
      </c>
      <c r="C110" s="43">
        <f t="shared" ca="1" si="20"/>
        <v>1</v>
      </c>
      <c r="D110" s="43">
        <f t="shared" ca="1" si="21"/>
        <v>1</v>
      </c>
      <c r="E110" s="90">
        <f t="shared" ca="1" si="22"/>
        <v>1</v>
      </c>
      <c r="F110" s="90">
        <f t="shared" ca="1" si="23"/>
        <v>1</v>
      </c>
      <c r="G110" s="90">
        <f t="shared" ca="1" si="24"/>
        <v>1</v>
      </c>
      <c r="H110" s="90">
        <f t="shared" ca="1" si="25"/>
        <v>1</v>
      </c>
      <c r="I110" s="90">
        <f t="shared" ca="1" si="26"/>
        <v>1</v>
      </c>
      <c r="J110" s="90">
        <f t="shared" ca="1" si="27"/>
        <v>1</v>
      </c>
      <c r="K110" s="167">
        <f t="shared" ca="1" si="28"/>
        <v>1</v>
      </c>
      <c r="M110" s="16">
        <f t="shared" ca="1" si="29"/>
        <v>0.99996839492975043</v>
      </c>
      <c r="N110" s="248">
        <f t="shared" ca="1" si="30"/>
        <v>3.1605070249574041E-5</v>
      </c>
    </row>
    <row r="111" spans="1:14" ht="12.75">
      <c r="A111" s="35"/>
    </row>
    <row r="112" spans="1:14" ht="12.75">
      <c r="A112" s="35"/>
    </row>
    <row r="113" spans="1:12" ht="12.75">
      <c r="A113" s="35" t="s">
        <v>212</v>
      </c>
    </row>
    <row r="114" spans="1:12" ht="12.75">
      <c r="A114" s="35"/>
      <c r="B114" s="152" t="s">
        <v>213</v>
      </c>
      <c r="C114" s="152" t="s">
        <v>214</v>
      </c>
      <c r="D114" s="152" t="s">
        <v>215</v>
      </c>
      <c r="E114" s="152" t="s">
        <v>216</v>
      </c>
      <c r="F114" s="152" t="s">
        <v>217</v>
      </c>
      <c r="G114" s="152" t="s">
        <v>218</v>
      </c>
      <c r="H114" s="152" t="s">
        <v>219</v>
      </c>
      <c r="I114" s="152" t="s">
        <v>220</v>
      </c>
      <c r="J114" s="152" t="s">
        <v>221</v>
      </c>
      <c r="K114" s="152" t="s">
        <v>222</v>
      </c>
      <c r="L114" s="152" t="s">
        <v>223</v>
      </c>
    </row>
    <row r="115" spans="1:12" ht="12.75">
      <c r="A115" s="35"/>
      <c r="B115" s="43">
        <f t="array" aca="1" ref="B115:L115" ca="1">LINEST(A90:A110,B90:K110,1,0)</f>
        <v>-22.494726404886485</v>
      </c>
      <c r="C115" s="43">
        <f ca="1"/>
        <v>92.936159307591467</v>
      </c>
      <c r="D115" s="43">
        <f ca="1"/>
        <v>-124.36137537237502</v>
      </c>
      <c r="E115" s="43">
        <f ca="1"/>
        <v>0</v>
      </c>
      <c r="F115" s="43">
        <f ca="1"/>
        <v>172.78746189813123</v>
      </c>
      <c r="G115" s="43">
        <f ca="1"/>
        <v>-199.08084807396162</v>
      </c>
      <c r="H115" s="43">
        <f ca="1"/>
        <v>103.16181007303102</v>
      </c>
      <c r="I115" s="43">
        <f ca="1"/>
        <v>-23.501093022400244</v>
      </c>
      <c r="J115" s="43">
        <f ca="1"/>
        <v>-1.1345512956878141</v>
      </c>
      <c r="K115" s="43">
        <f ca="1"/>
        <v>2.6859917935175437</v>
      </c>
      <c r="L115" s="43">
        <f ca="1"/>
        <v>1.1394919696843253E-3</v>
      </c>
    </row>
    <row r="116" spans="1:12" ht="12.75">
      <c r="A116" s="35"/>
    </row>
    <row r="117" spans="1:12" ht="12.75">
      <c r="A117" s="35" t="s">
        <v>224</v>
      </c>
    </row>
    <row r="118" spans="1:12" ht="12.75">
      <c r="A118" s="35"/>
    </row>
    <row r="119" spans="1:12" ht="12.75">
      <c r="A119" s="35"/>
      <c r="B119" s="233">
        <f t="array" aca="1" ref="B119:L123" ca="1">LINEST(A90:A110,B90:K110,1,1)</f>
        <v>-22.494726404886485</v>
      </c>
      <c r="C119" s="233">
        <f ca="1"/>
        <v>92.936159307591467</v>
      </c>
      <c r="D119" s="233">
        <f ca="1"/>
        <v>-124.36137537237502</v>
      </c>
      <c r="E119" s="233">
        <f ca="1"/>
        <v>0</v>
      </c>
      <c r="F119" s="233">
        <f ca="1"/>
        <v>172.78746189813123</v>
      </c>
      <c r="G119" s="233">
        <f ca="1"/>
        <v>-199.08084807396162</v>
      </c>
      <c r="H119" s="233">
        <f ca="1"/>
        <v>103.16181007303102</v>
      </c>
      <c r="I119" s="233">
        <f ca="1"/>
        <v>-23.501093022400244</v>
      </c>
      <c r="J119" s="233">
        <f ca="1"/>
        <v>-1.1345512956878141</v>
      </c>
      <c r="K119" s="233">
        <f ca="1"/>
        <v>2.6859917935175437</v>
      </c>
      <c r="L119" s="233">
        <f ca="1"/>
        <v>1.1394919696843253E-3</v>
      </c>
    </row>
    <row r="120" spans="1:12" ht="12.75">
      <c r="A120" s="35"/>
      <c r="B120" s="315">
        <f ca="1"/>
        <v>89.617149964251638</v>
      </c>
      <c r="C120" s="315">
        <f ca="1"/>
        <v>311.98475438459866</v>
      </c>
      <c r="D120" s="315">
        <f ca="1"/>
        <v>348.14216567593081</v>
      </c>
      <c r="E120" s="315">
        <f ca="1"/>
        <v>0</v>
      </c>
      <c r="F120" s="315">
        <f ca="1"/>
        <v>329.1611468573401</v>
      </c>
      <c r="G120" s="315">
        <f ca="1"/>
        <v>313.63697208826369</v>
      </c>
      <c r="H120" s="315">
        <f ca="1"/>
        <v>138.99896672051818</v>
      </c>
      <c r="I120" s="315">
        <f ca="1"/>
        <v>32.315306200873266</v>
      </c>
      <c r="J120" s="315">
        <f ca="1"/>
        <v>3.744468692338915</v>
      </c>
      <c r="K120" s="315">
        <f ca="1"/>
        <v>0.18131715095189072</v>
      </c>
      <c r="L120" s="315">
        <f ca="1"/>
        <v>2.6511567310173057E-3</v>
      </c>
    </row>
    <row r="121" spans="1:12" ht="12.75">
      <c r="A121" s="35"/>
      <c r="B121" s="316">
        <f ca="1"/>
        <v>0.99996058828151779</v>
      </c>
      <c r="C121" s="317">
        <f ca="1"/>
        <v>2.951490107588061E-3</v>
      </c>
      <c r="D121" s="198" t="e">
        <f ca="1"/>
        <v>#N/A</v>
      </c>
      <c r="E121" s="198" t="e">
        <f ca="1"/>
        <v>#N/A</v>
      </c>
      <c r="F121" s="198" t="e">
        <f ca="1"/>
        <v>#N/A</v>
      </c>
      <c r="G121" s="198" t="e">
        <f ca="1"/>
        <v>#N/A</v>
      </c>
      <c r="H121" s="198" t="e">
        <f ca="1"/>
        <v>#N/A</v>
      </c>
      <c r="I121" s="198" t="e">
        <f ca="1"/>
        <v>#N/A</v>
      </c>
      <c r="J121" s="198" t="e">
        <f ca="1"/>
        <v>#N/A</v>
      </c>
      <c r="K121" s="198" t="e">
        <f ca="1"/>
        <v>#N/A</v>
      </c>
      <c r="L121" s="198" t="e">
        <f ca="1"/>
        <v>#N/A</v>
      </c>
    </row>
    <row r="122" spans="1:12" ht="12.75">
      <c r="A122" s="35"/>
      <c r="B122" s="233">
        <f ca="1"/>
        <v>31010.422773063561</v>
      </c>
      <c r="C122" s="236">
        <f ca="1"/>
        <v>11</v>
      </c>
      <c r="D122" s="198" t="e">
        <f ca="1"/>
        <v>#N/A</v>
      </c>
      <c r="E122" s="198" t="e">
        <f ca="1"/>
        <v>#N/A</v>
      </c>
      <c r="F122" s="198" t="e">
        <f ca="1"/>
        <v>#N/A</v>
      </c>
      <c r="G122" s="198" t="e">
        <f ca="1"/>
        <v>#N/A</v>
      </c>
      <c r="H122" s="198" t="e">
        <f ca="1"/>
        <v>#N/A</v>
      </c>
      <c r="I122" s="198" t="e">
        <f ca="1"/>
        <v>#N/A</v>
      </c>
      <c r="J122" s="198" t="e">
        <f ca="1"/>
        <v>#N/A</v>
      </c>
      <c r="K122" s="198" t="e">
        <f ca="1"/>
        <v>#N/A</v>
      </c>
      <c r="L122" s="198" t="e">
        <f ca="1"/>
        <v>#N/A</v>
      </c>
    </row>
    <row r="123" spans="1:12" ht="12.75">
      <c r="A123" s="35"/>
      <c r="B123" s="233">
        <f ca="1"/>
        <v>2.4312681481485452</v>
      </c>
      <c r="C123" s="318">
        <f ca="1"/>
        <v>9.5824232407092021E-5</v>
      </c>
      <c r="D123" s="198" t="e">
        <f ca="1"/>
        <v>#N/A</v>
      </c>
      <c r="E123" s="198" t="e">
        <f ca="1"/>
        <v>#N/A</v>
      </c>
      <c r="F123" s="198" t="e">
        <f ca="1"/>
        <v>#N/A</v>
      </c>
      <c r="G123" s="198" t="e">
        <f ca="1"/>
        <v>#N/A</v>
      </c>
      <c r="H123" s="198" t="e">
        <f ca="1"/>
        <v>#N/A</v>
      </c>
      <c r="I123" s="198" t="e">
        <f ca="1"/>
        <v>#N/A</v>
      </c>
      <c r="J123" s="198" t="e">
        <f ca="1"/>
        <v>#N/A</v>
      </c>
      <c r="K123" s="198" t="e">
        <f ca="1"/>
        <v>#N/A</v>
      </c>
      <c r="L123" s="198" t="e">
        <f ca="1"/>
        <v>#N/A</v>
      </c>
    </row>
    <row r="124" spans="1:12" ht="12.75">
      <c r="A124" s="35"/>
    </row>
    <row r="125" spans="1:12" ht="12.75">
      <c r="A125" s="35"/>
    </row>
    <row r="126" spans="1:12" ht="12.75">
      <c r="A126" s="35" t="s">
        <v>229</v>
      </c>
      <c r="B126" s="236" t="s">
        <v>213</v>
      </c>
      <c r="C126" s="236" t="s">
        <v>214</v>
      </c>
      <c r="D126" s="236" t="s">
        <v>215</v>
      </c>
      <c r="E126" s="236" t="s">
        <v>216</v>
      </c>
      <c r="F126" s="236" t="s">
        <v>217</v>
      </c>
      <c r="G126" s="236" t="s">
        <v>218</v>
      </c>
      <c r="H126" s="236" t="s">
        <v>219</v>
      </c>
      <c r="I126" s="236" t="s">
        <v>220</v>
      </c>
      <c r="J126" s="236" t="s">
        <v>221</v>
      </c>
      <c r="K126" s="236" t="s">
        <v>222</v>
      </c>
      <c r="L126" s="236" t="s">
        <v>223</v>
      </c>
    </row>
    <row r="127" spans="1:12" ht="12.75">
      <c r="A127" s="35" t="s">
        <v>230</v>
      </c>
      <c r="B127" s="236" t="s">
        <v>231</v>
      </c>
      <c r="C127" s="236" t="s">
        <v>232</v>
      </c>
      <c r="D127" s="236" t="s">
        <v>233</v>
      </c>
      <c r="E127" s="236" t="s">
        <v>234</v>
      </c>
      <c r="F127" s="236" t="s">
        <v>235</v>
      </c>
      <c r="G127" s="236" t="s">
        <v>236</v>
      </c>
      <c r="H127" s="236" t="s">
        <v>237</v>
      </c>
      <c r="I127" s="236" t="s">
        <v>238</v>
      </c>
      <c r="J127" s="236" t="s">
        <v>239</v>
      </c>
      <c r="K127" s="236" t="s">
        <v>240</v>
      </c>
      <c r="L127" s="236" t="s">
        <v>241</v>
      </c>
    </row>
    <row r="128" spans="1:12" ht="12.75">
      <c r="A128" s="35" t="s">
        <v>242</v>
      </c>
      <c r="B128" s="236" t="s">
        <v>243</v>
      </c>
      <c r="C128" s="236" t="s">
        <v>244</v>
      </c>
      <c r="D128" s="35" t="s">
        <v>245</v>
      </c>
    </row>
    <row r="129" spans="1:15" ht="12.75">
      <c r="A129" s="35" t="s">
        <v>246</v>
      </c>
      <c r="B129" s="236" t="s">
        <v>170</v>
      </c>
      <c r="C129" s="236" t="s">
        <v>247</v>
      </c>
      <c r="D129" s="35" t="s">
        <v>248</v>
      </c>
    </row>
    <row r="130" spans="1:15" ht="12.75">
      <c r="A130" s="35" t="s">
        <v>249</v>
      </c>
      <c r="B130" s="236" t="s">
        <v>250</v>
      </c>
      <c r="C130" s="236" t="s">
        <v>251</v>
      </c>
      <c r="D130" s="35" t="s">
        <v>252</v>
      </c>
      <c r="J130" s="35"/>
      <c r="K130" s="35"/>
    </row>
    <row r="131" spans="1:15" ht="12.75">
      <c r="A131" s="35"/>
      <c r="J131" s="35"/>
    </row>
    <row r="132" spans="1:15" ht="12.75">
      <c r="A132" s="35"/>
    </row>
    <row r="133" spans="1:15" ht="12.75">
      <c r="A133" s="35"/>
      <c r="J133" s="35"/>
    </row>
    <row r="134" spans="1:15" ht="12.75">
      <c r="A134" s="35"/>
      <c r="J134" s="35"/>
    </row>
    <row r="135" spans="1:15">
      <c r="A135" s="150" t="s">
        <v>303</v>
      </c>
      <c r="J135" s="35"/>
    </row>
    <row r="136" spans="1:15" ht="12.75">
      <c r="A136" s="34" t="s">
        <v>304</v>
      </c>
      <c r="B136" s="34" t="s">
        <v>304</v>
      </c>
      <c r="J136" s="35"/>
    </row>
    <row r="137" spans="1:15" ht="12.75">
      <c r="A137" s="152" t="s">
        <v>9</v>
      </c>
      <c r="B137" s="152" t="s">
        <v>305</v>
      </c>
      <c r="C137" s="152" t="s">
        <v>306</v>
      </c>
      <c r="D137" s="152" t="s">
        <v>307</v>
      </c>
      <c r="E137" s="140" t="s">
        <v>101</v>
      </c>
      <c r="F137" s="152" t="s">
        <v>308</v>
      </c>
      <c r="G137" s="152" t="s">
        <v>171</v>
      </c>
      <c r="H137" s="152" t="s">
        <v>175</v>
      </c>
      <c r="I137" s="152" t="s">
        <v>309</v>
      </c>
      <c r="J137" s="152" t="s">
        <v>310</v>
      </c>
      <c r="K137" s="152" t="s">
        <v>311</v>
      </c>
      <c r="L137" s="152" t="s">
        <v>312</v>
      </c>
      <c r="M137" s="152" t="s">
        <v>313</v>
      </c>
      <c r="N137" s="152" t="s">
        <v>314</v>
      </c>
      <c r="O137" s="152" t="s">
        <v>315</v>
      </c>
    </row>
    <row r="138" spans="1:15" ht="12.75">
      <c r="A138" s="43">
        <f t="shared" ref="A138:A178" ca="1" si="31">m10y*B138^10+m9y*B138^9+m8y*B138^8+m7y*B138^7+m6y*B138^6+m5y*B138^5+m4y*B138^4+m3y*B138^3+m2y*B138^2+m1y*B138^1+mby</f>
        <v>1.1394919696843253E-3</v>
      </c>
      <c r="B138" s="43">
        <v>0</v>
      </c>
      <c r="C138" s="43">
        <f t="array" aca="1" ref="C138" ca="1">INDEX(y.ascendente,ROWS($A138:A$178))</f>
        <v>0.99996839492975043</v>
      </c>
      <c r="D138" s="43">
        <f>INDEX(x.ascendente,ROWS(B138:B$178))</f>
        <v>1</v>
      </c>
      <c r="E138" s="43">
        <f t="shared" ref="E138:E178" si="32">B138</f>
        <v>0</v>
      </c>
      <c r="O138" s="319"/>
    </row>
    <row r="139" spans="1:15" ht="12.75">
      <c r="A139" s="43">
        <f t="shared" ca="1" si="31"/>
        <v>6.7251383268311107E-2</v>
      </c>
      <c r="B139" s="43">
        <v>2.5000000000000001E-2</v>
      </c>
      <c r="C139" s="43">
        <f t="array" aca="1" ref="C139" ca="1">INDEX(y.ascendente,ROWS($A139:A$178))</f>
        <v>0.98807842154268966</v>
      </c>
      <c r="D139" s="43">
        <f>INDEX(x.ascendente,ROWS(B139:B$178))</f>
        <v>0.97499999999999998</v>
      </c>
      <c r="E139" s="43">
        <f t="shared" si="32"/>
        <v>2.5000000000000001E-2</v>
      </c>
      <c r="O139" s="319"/>
    </row>
    <row r="140" spans="1:15" ht="12.75">
      <c r="A140" s="43">
        <f t="shared" ca="1" si="31"/>
        <v>0.1302503104520204</v>
      </c>
      <c r="B140" s="43">
        <v>0.05</v>
      </c>
      <c r="C140" s="43">
        <f t="array" aca="1" ref="C140" ca="1">INDEX(y.ascendente,ROWS($A140:A$178))</f>
        <v>0.975943992970008</v>
      </c>
      <c r="D140" s="43">
        <f>INDEX(x.ascendente,ROWS(B140:B$178))</f>
        <v>0.95</v>
      </c>
      <c r="E140" s="43">
        <f t="shared" si="32"/>
        <v>0.05</v>
      </c>
      <c r="O140" s="319"/>
    </row>
    <row r="141" spans="1:15" ht="12.75">
      <c r="A141" s="43">
        <f t="shared" ca="1" si="31"/>
        <v>0.1891148125944746</v>
      </c>
      <c r="B141" s="43">
        <v>7.4999999999999997E-2</v>
      </c>
      <c r="C141" s="43">
        <f t="array" aca="1" ref="C141" ca="1">INDEX(y.ascendente,ROWS($A141:A$178))</f>
        <v>0.96365726211764446</v>
      </c>
      <c r="D141" s="43">
        <f>INDEX(x.ascendente,ROWS(B141:B$178))</f>
        <v>0.92500000000000004</v>
      </c>
      <c r="E141" s="43">
        <f t="shared" si="32"/>
        <v>7.4999999999999997E-2</v>
      </c>
      <c r="O141" s="319"/>
    </row>
    <row r="142" spans="1:15" ht="14.25">
      <c r="A142" s="43">
        <f t="shared" ca="1" si="31"/>
        <v>0.24338907240355487</v>
      </c>
      <c r="B142" s="43">
        <v>0.1</v>
      </c>
      <c r="C142" s="43">
        <f t="array" aca="1" ref="C142" ca="1">INDEX(y.ascendente,ROWS($A142:A$178))</f>
        <v>0.9512557747132635</v>
      </c>
      <c r="D142" s="43">
        <f>INDEX(x.ascendente,ROWS(B142:B$178))</f>
        <v>0.9</v>
      </c>
      <c r="E142" s="43">
        <f t="shared" si="32"/>
        <v>0.1</v>
      </c>
      <c r="J142" s="320"/>
      <c r="O142" s="319"/>
    </row>
    <row r="143" spans="1:15" ht="12.75">
      <c r="A143" s="43">
        <f t="shared" ca="1" si="31"/>
        <v>0.29302344412928544</v>
      </c>
      <c r="B143" s="43">
        <v>0.125</v>
      </c>
      <c r="C143" s="43">
        <f t="array" aca="1" ref="C143" ca="1">INDEX(y.ascendente,ROWS($A143:A$178))</f>
        <v>0.93875324380277991</v>
      </c>
      <c r="D143" s="43">
        <f>INDEX(x.ascendente,ROWS(B143:B$178))</f>
        <v>0.875</v>
      </c>
      <c r="E143" s="43">
        <f t="shared" si="32"/>
        <v>0.125</v>
      </c>
      <c r="O143" s="319"/>
    </row>
    <row r="144" spans="1:15" ht="12.75">
      <c r="A144" s="43">
        <f t="shared" ca="1" si="31"/>
        <v>0.33824236012771625</v>
      </c>
      <c r="B144" s="43">
        <v>0.15</v>
      </c>
      <c r="C144" s="43">
        <f t="array" aca="1" ref="C144" ca="1">INDEX(y.ascendente,ROWS($A144:A$178))</f>
        <v>0.92615481245558318</v>
      </c>
      <c r="D144" s="43">
        <f>INDEX(x.ascendente,ROWS(B144:B$178))</f>
        <v>0.85</v>
      </c>
      <c r="E144" s="43">
        <f t="shared" si="32"/>
        <v>0.15</v>
      </c>
      <c r="O144" s="319"/>
    </row>
    <row r="145" spans="1:15" ht="12.75">
      <c r="A145" s="43">
        <f t="shared" ca="1" si="31"/>
        <v>0.37943770010711403</v>
      </c>
      <c r="B145" s="43">
        <v>0.17499999999999999</v>
      </c>
      <c r="C145" s="43">
        <f t="array" aca="1" ref="C145" ca="1">INDEX(y.ascendente,ROWS($A145:A$178))</f>
        <v>0.91346217164331955</v>
      </c>
      <c r="D145" s="43">
        <f>INDEX(x.ascendente,ROWS(B145:B$178))</f>
        <v>0.82499999999999996</v>
      </c>
      <c r="E145" s="43">
        <f t="shared" si="32"/>
        <v>0.17499999999999999</v>
      </c>
      <c r="O145" s="319"/>
    </row>
    <row r="146" spans="1:15" ht="12.75">
      <c r="A146" s="43">
        <f t="shared" ca="1" si="31"/>
        <v>0.41708539169376924</v>
      </c>
      <c r="B146" s="43">
        <v>0.2</v>
      </c>
      <c r="C146" s="43">
        <f t="array" aca="1" ref="C146" ca="1">INDEX(y.ascendente,ROWS($A146:A$178))</f>
        <v>0.90067271941649718</v>
      </c>
      <c r="D146" s="43">
        <f>INDEX(x.ascendente,ROWS(B146:B$178))</f>
        <v>0.8</v>
      </c>
      <c r="E146" s="43">
        <f t="shared" si="32"/>
        <v>0.2</v>
      </c>
      <c r="O146" s="319"/>
    </row>
    <row r="147" spans="1:15" ht="12.75">
      <c r="A147" s="43">
        <f t="shared" ca="1" si="31"/>
        <v>0.45168278918379379</v>
      </c>
      <c r="B147" s="43">
        <v>0.22500000000000001</v>
      </c>
      <c r="C147" s="43">
        <f t="array" aca="1" ref="C147" ca="1">INDEX(y.ascendente,ROWS($A147:A$178))</f>
        <v>0.88777591437507031</v>
      </c>
      <c r="D147" s="43">
        <f>INDEX(x.ascendente,ROWS(B147:B$178))</f>
        <v>0.77500000000000002</v>
      </c>
      <c r="E147" s="43">
        <f t="shared" si="32"/>
        <v>0.22500000000000001</v>
      </c>
      <c r="O147" s="319"/>
    </row>
    <row r="148" spans="1:15" ht="12.75">
      <c r="A148" s="43">
        <f t="shared" ca="1" si="31"/>
        <v>0.48370424140973278</v>
      </c>
      <c r="B148" s="43">
        <v>0.25</v>
      </c>
      <c r="C148" s="43">
        <f t="array" aca="1" ref="C148" ca="1">INDEX(y.ascendente,ROWS($A148:A$178))</f>
        <v>0.87474908322310041</v>
      </c>
      <c r="D148" s="43">
        <f>INDEX(x.ascendente,ROWS(B148:B$178))</f>
        <v>0.75</v>
      </c>
      <c r="E148" s="43">
        <f t="shared" si="32"/>
        <v>0.25</v>
      </c>
      <c r="O148" s="319"/>
    </row>
    <row r="149" spans="1:15" ht="12.75">
      <c r="A149" s="43">
        <f t="shared" ca="1" si="31"/>
        <v>0.51357220176189666</v>
      </c>
      <c r="B149" s="43">
        <v>0.27500000000000002</v>
      </c>
      <c r="C149" s="43">
        <f t="array" aca="1" ref="C149" ca="1">INDEX(y.ascendente,ROWS($A149:A$178))</f>
        <v>0.86155418113221671</v>
      </c>
      <c r="D149" s="43">
        <f>INDEX(x.ascendente,ROWS(B149:B$178))</f>
        <v>0.72499999999999998</v>
      </c>
      <c r="E149" s="43">
        <f t="shared" si="32"/>
        <v>0.27500000000000002</v>
      </c>
      <c r="O149" s="319"/>
    </row>
    <row r="150" spans="1:15" ht="12.75">
      <c r="A150" s="43">
        <f t="shared" ca="1" si="31"/>
        <v>0.54164124577932116</v>
      </c>
      <c r="B150" s="43">
        <v>0.3</v>
      </c>
      <c r="C150" s="43">
        <f t="array" aca="1" ref="C150" ca="1">INDEX(y.ascendente,ROWS($A150:A$178))</f>
        <v>0.84819057128755615</v>
      </c>
      <c r="D150" s="43">
        <f>INDEX(x.ascendente,ROWS(B150:B$178))</f>
        <v>0.70009999999999994</v>
      </c>
      <c r="E150" s="43">
        <f t="shared" si="32"/>
        <v>0.3</v>
      </c>
      <c r="O150" s="319"/>
    </row>
    <row r="151" spans="1:15" ht="12.75">
      <c r="A151" s="43">
        <f t="shared" ca="1" si="31"/>
        <v>0.5681924365794242</v>
      </c>
      <c r="B151" s="43">
        <v>0.32500000000000001</v>
      </c>
      <c r="C151" s="43">
        <f t="array" aca="1" ref="C151" ca="1">INDEX(y.ascendente,ROWS($A151:A$178))</f>
        <v>0.83442473495410463</v>
      </c>
      <c r="D151" s="43">
        <f>INDEX(x.ascendente,ROWS(B151:B$178))</f>
        <v>0.67500000000000004</v>
      </c>
      <c r="E151" s="43">
        <f t="shared" si="32"/>
        <v>0.32500000000000001</v>
      </c>
      <c r="O151" s="319"/>
    </row>
    <row r="152" spans="1:15" ht="12.75">
      <c r="A152" s="43">
        <f t="shared" ca="1" si="31"/>
        <v>0.59343560794403361</v>
      </c>
      <c r="B152" s="43">
        <v>0.35</v>
      </c>
      <c r="C152" s="43">
        <f t="array" aca="1" ref="C152" ca="1">INDEX(y.ascendente,ROWS($A152:A$178))</f>
        <v>0.82033513417552539</v>
      </c>
      <c r="D152" s="43">
        <f>INDEX(x.ascendente,ROWS(B152:B$178))</f>
        <v>0.65</v>
      </c>
      <c r="E152" s="43">
        <f t="shared" si="32"/>
        <v>0.35</v>
      </c>
      <c r="O152" s="319"/>
    </row>
    <row r="153" spans="1:15" ht="12.75">
      <c r="A153" s="43">
        <f t="shared" ca="1" si="31"/>
        <v>0.61751731133776833</v>
      </c>
      <c r="B153" s="43">
        <v>0.375</v>
      </c>
      <c r="C153" s="43">
        <f t="array" aca="1" ref="C153" ca="1">INDEX(y.ascendente,ROWS($A153:A$178))</f>
        <v>0.80577469459736373</v>
      </c>
      <c r="D153" s="43">
        <f>INDEX(x.ascendente,ROWS(B153:B$178))</f>
        <v>0.625</v>
      </c>
      <c r="E153" s="43">
        <f t="shared" si="32"/>
        <v>0.375</v>
      </c>
      <c r="O153" s="319"/>
    </row>
    <row r="154" spans="1:15" ht="12.75">
      <c r="A154" s="43">
        <f t="shared" ca="1" si="31"/>
        <v>0.64053238871802509</v>
      </c>
      <c r="B154" s="43">
        <v>0.4</v>
      </c>
      <c r="C154" s="43">
        <f t="array" aca="1" ref="C154" ca="1">INDEX(y.ascendente,ROWS($A154:A$178))</f>
        <v>0.79064746409495501</v>
      </c>
      <c r="D154" s="43">
        <f>INDEX(x.ascendente,ROWS(B154:B$178))</f>
        <v>0.6</v>
      </c>
      <c r="E154" s="43">
        <f t="shared" si="32"/>
        <v>0.4</v>
      </c>
      <c r="O154" s="319"/>
    </row>
    <row r="155" spans="1:15" ht="12.75">
      <c r="A155" s="43">
        <f t="shared" ca="1" si="31"/>
        <v>0.66253737991932904</v>
      </c>
      <c r="B155" s="43">
        <v>0.42499999999999999</v>
      </c>
      <c r="C155" s="43">
        <f t="array" aca="1" ref="C155" ca="1">INDEX(y.ascendente,ROWS($A155:A$178))</f>
        <v>0.77486042691209267</v>
      </c>
      <c r="D155" s="43">
        <f>INDEX(x.ascendente,ROWS(B155:B$178))</f>
        <v>0.57499999999999996</v>
      </c>
      <c r="E155" s="43">
        <f t="shared" si="32"/>
        <v>0.42499999999999999</v>
      </c>
      <c r="O155" s="319"/>
    </row>
    <row r="156" spans="1:15" ht="12.75">
      <c r="A156" s="43">
        <f t="shared" ca="1" si="31"/>
        <v>0.6835642438738051</v>
      </c>
      <c r="B156" s="43">
        <v>0.45</v>
      </c>
      <c r="C156" s="43">
        <f t="array" aca="1" ref="C156" ca="1">INDEX(y.ascendente,ROWS($A156:A$178))</f>
        <v>0.75832912108410233</v>
      </c>
      <c r="D156" s="43">
        <f>INDEX(x.ascendente,ROWS(B156:B$178))</f>
        <v>0.55000000000000004</v>
      </c>
      <c r="E156" s="43">
        <f t="shared" si="32"/>
        <v>0.45</v>
      </c>
      <c r="O156" s="319"/>
    </row>
    <row r="157" spans="1:15" ht="12.75">
      <c r="A157" s="43">
        <f t="shared" ca="1" si="31"/>
        <v>0.70363315917929659</v>
      </c>
      <c r="B157" s="43">
        <v>0.47499999999999998</v>
      </c>
      <c r="C157" s="43">
        <f t="array" aca="1" ref="C157" ca="1">INDEX(y.ascendente,ROWS($A157:A$178))</f>
        <v>0.74098208782108022</v>
      </c>
      <c r="D157" s="43">
        <f>INDEX(x.ascendente,ROWS(B157:B$178))</f>
        <v>0.52500000000000002</v>
      </c>
      <c r="E157" s="43">
        <f t="shared" si="32"/>
        <v>0.47499999999999998</v>
      </c>
      <c r="O157" s="319"/>
    </row>
    <row r="158" spans="1:15" ht="12.75">
      <c r="A158" s="43">
        <f t="shared" ca="1" si="31"/>
        <v>0.72276346376243827</v>
      </c>
      <c r="B158" s="43">
        <v>0.5</v>
      </c>
      <c r="C158" s="43">
        <f t="array" aca="1" ref="C158" ca="1">INDEX(y.ascendente,ROWS($A158:A$178))</f>
        <v>0.72276346376243827</v>
      </c>
      <c r="D158" s="43">
        <f>INDEX(x.ascendente,ROWS(B158:B$178))</f>
        <v>0.5</v>
      </c>
      <c r="E158" s="43">
        <f t="shared" si="32"/>
        <v>0.5</v>
      </c>
      <c r="O158" s="319"/>
    </row>
    <row r="159" spans="1:15" ht="12.75">
      <c r="A159" s="43">
        <f t="shared" ca="1" si="31"/>
        <v>0.74098208782108022</v>
      </c>
      <c r="B159" s="43">
        <v>0.52500000000000002</v>
      </c>
      <c r="C159" s="43">
        <f t="array" aca="1" ref="C159" ca="1">INDEX(y.ascendente,ROWS($A159:A$178))</f>
        <v>0.70363315917929659</v>
      </c>
      <c r="D159" s="43">
        <f>INDEX(x.ascendente,ROWS(B159:B$178))</f>
        <v>0.47499999999999998</v>
      </c>
      <c r="E159" s="43">
        <f t="shared" si="32"/>
        <v>0.52500000000000002</v>
      </c>
      <c r="O159" s="319"/>
    </row>
    <row r="160" spans="1:15" ht="12.75">
      <c r="A160" s="43">
        <f t="shared" ca="1" si="31"/>
        <v>0.75832912108410233</v>
      </c>
      <c r="B160" s="43">
        <v>0.55000000000000004</v>
      </c>
      <c r="C160" s="43">
        <f t="array" aca="1" ref="C160" ca="1">INDEX(y.ascendente,ROWS($A160:A$178))</f>
        <v>0.6835642438738051</v>
      </c>
      <c r="D160" s="43">
        <f>INDEX(x.ascendente,ROWS(B160:B$178))</f>
        <v>0.45</v>
      </c>
      <c r="E160" s="43">
        <f t="shared" si="32"/>
        <v>0.55000000000000004</v>
      </c>
      <c r="O160" s="319"/>
    </row>
    <row r="161" spans="1:15" ht="12.75">
      <c r="A161" s="43">
        <f t="shared" ca="1" si="31"/>
        <v>0.77486042691209267</v>
      </c>
      <c r="B161" s="43">
        <v>0.57499999999999996</v>
      </c>
      <c r="C161" s="43">
        <f t="array" aca="1" ref="C161" ca="1">INDEX(y.ascendente,ROWS($A161:A$178))</f>
        <v>0.66253737991932904</v>
      </c>
      <c r="D161" s="43">
        <f>INDEX(x.ascendente,ROWS(B161:B$178))</f>
        <v>0.42499999999999999</v>
      </c>
      <c r="E161" s="43">
        <f t="shared" si="32"/>
        <v>0.57499999999999996</v>
      </c>
      <c r="O161" s="319"/>
    </row>
    <row r="162" spans="1:15" ht="12.75">
      <c r="A162" s="43">
        <f t="shared" ca="1" si="31"/>
        <v>0.79064746409495501</v>
      </c>
      <c r="B162" s="43">
        <v>0.6</v>
      </c>
      <c r="C162" s="43">
        <f t="array" aca="1" ref="C162" ca="1">INDEX(y.ascendente,ROWS($A162:A$178))</f>
        <v>0.64053238871802509</v>
      </c>
      <c r="D162" s="43">
        <f>INDEX(x.ascendente,ROWS(B162:B$178))</f>
        <v>0.4</v>
      </c>
      <c r="E162" s="43">
        <f t="shared" si="32"/>
        <v>0.6</v>
      </c>
      <c r="O162" s="319"/>
    </row>
    <row r="163" spans="1:15" ht="12.75">
      <c r="A163" s="43">
        <f t="shared" ca="1" si="31"/>
        <v>0.80577469459736373</v>
      </c>
      <c r="B163" s="43">
        <v>0.625</v>
      </c>
      <c r="C163" s="43">
        <f t="array" aca="1" ref="C163" ca="1">INDEX(y.ascendente,ROWS($A163:A$178))</f>
        <v>0.61751731133776833</v>
      </c>
      <c r="D163" s="43">
        <f>INDEX(x.ascendente,ROWS(B163:B$178))</f>
        <v>0.375</v>
      </c>
      <c r="E163" s="43">
        <f t="shared" si="32"/>
        <v>0.625</v>
      </c>
      <c r="O163" s="319"/>
    </row>
    <row r="164" spans="1:15" ht="12.75">
      <c r="A164" s="43">
        <f t="shared" ca="1" si="31"/>
        <v>0.82033513417552539</v>
      </c>
      <c r="B164" s="43">
        <v>0.65</v>
      </c>
      <c r="C164" s="43">
        <f t="array" aca="1" ref="C164" ca="1">INDEX(y.ascendente,ROWS($A164:A$178))</f>
        <v>0.59343560794403361</v>
      </c>
      <c r="D164" s="43">
        <f>INDEX(x.ascendente,ROWS(B164:B$178))</f>
        <v>0.35</v>
      </c>
      <c r="E164" s="43">
        <f t="shared" si="32"/>
        <v>0.65</v>
      </c>
      <c r="O164" s="319"/>
    </row>
    <row r="165" spans="1:15" ht="12.75">
      <c r="A165" s="43">
        <f t="shared" ca="1" si="31"/>
        <v>0.83442473495410463</v>
      </c>
      <c r="B165" s="43">
        <v>0.67500000000000004</v>
      </c>
      <c r="C165" s="43">
        <f t="array" aca="1" ref="C165" ca="1">INDEX(y.ascendente,ROWS($A165:A$178))</f>
        <v>0.5681924365794242</v>
      </c>
      <c r="D165" s="43">
        <f>INDEX(x.ascendente,ROWS(B165:B$178))</f>
        <v>0.32500000000000001</v>
      </c>
      <c r="E165" s="43">
        <f t="shared" si="32"/>
        <v>0.67500000000000004</v>
      </c>
      <c r="O165" s="319"/>
    </row>
    <row r="166" spans="1:15" ht="12.75">
      <c r="A166" s="43">
        <f t="shared" ca="1" si="31"/>
        <v>0.84819057128755615</v>
      </c>
      <c r="B166" s="43">
        <v>0.70009999999999994</v>
      </c>
      <c r="C166" s="43">
        <f t="array" aca="1" ref="C166" ca="1">INDEX(y.ascendente,ROWS($A166:A$178))</f>
        <v>0.54164124577932116</v>
      </c>
      <c r="D166" s="43">
        <f>INDEX(x.ascendente,ROWS(B166:B$178))</f>
        <v>0.3</v>
      </c>
      <c r="E166" s="43">
        <f t="shared" si="32"/>
        <v>0.70009999999999994</v>
      </c>
      <c r="O166" s="319"/>
    </row>
    <row r="167" spans="1:15" ht="12.75">
      <c r="A167" s="43">
        <f t="shared" ca="1" si="31"/>
        <v>0.86155418113221671</v>
      </c>
      <c r="B167" s="43">
        <v>0.72499999999999998</v>
      </c>
      <c r="C167" s="43">
        <f t="array" aca="1" ref="C167" ca="1">INDEX(y.ascendente,ROWS($A167:A$178))</f>
        <v>0.51357220176189666</v>
      </c>
      <c r="D167" s="43">
        <f>INDEX(x.ascendente,ROWS(B167:B$178))</f>
        <v>0.27500000000000002</v>
      </c>
      <c r="E167" s="43">
        <f t="shared" si="32"/>
        <v>0.72499999999999998</v>
      </c>
      <c r="O167" s="319"/>
    </row>
    <row r="168" spans="1:15" ht="12.75">
      <c r="A168" s="43">
        <f t="shared" ca="1" si="31"/>
        <v>0.87474908322310041</v>
      </c>
      <c r="B168" s="43">
        <v>0.75</v>
      </c>
      <c r="C168" s="43">
        <f t="array" aca="1" ref="C168" ca="1">INDEX(y.ascendente,ROWS($A168:A$178))</f>
        <v>0.48370424140973278</v>
      </c>
      <c r="D168" s="43">
        <f>INDEX(x.ascendente,ROWS(B168:B$178))</f>
        <v>0.25</v>
      </c>
      <c r="E168" s="43">
        <f t="shared" si="32"/>
        <v>0.75</v>
      </c>
      <c r="O168" s="319"/>
    </row>
    <row r="169" spans="1:15" ht="12.75">
      <c r="A169" s="43">
        <f t="shared" ca="1" si="31"/>
        <v>0.88777591437507031</v>
      </c>
      <c r="B169" s="43">
        <v>0.77500000000000002</v>
      </c>
      <c r="C169" s="43">
        <f t="array" aca="1" ref="C169" ca="1">INDEX(y.ascendente,ROWS($A169:A$178))</f>
        <v>0.45168278918379379</v>
      </c>
      <c r="D169" s="43">
        <f>INDEX(x.ascendente,ROWS(B169:B$178))</f>
        <v>0.22500000000000001</v>
      </c>
      <c r="E169" s="43">
        <f t="shared" si="32"/>
        <v>0.77500000000000002</v>
      </c>
      <c r="O169" s="319"/>
    </row>
    <row r="170" spans="1:15" ht="12.75">
      <c r="A170" s="43">
        <f t="shared" ca="1" si="31"/>
        <v>0.90067271941649718</v>
      </c>
      <c r="B170" s="43">
        <v>0.8</v>
      </c>
      <c r="C170" s="43">
        <f t="array" aca="1" ref="C170" ca="1">INDEX(y.ascendente,ROWS($A170:A$178))</f>
        <v>0.41708539169376924</v>
      </c>
      <c r="D170" s="43">
        <f>INDEX(x.ascendente,ROWS(B170:B$178))</f>
        <v>0.2</v>
      </c>
      <c r="E170" s="43">
        <f t="shared" si="32"/>
        <v>0.8</v>
      </c>
      <c r="O170" s="319"/>
    </row>
    <row r="171" spans="1:15" ht="12.75">
      <c r="A171" s="43">
        <f t="shared" ca="1" si="31"/>
        <v>0.91346217164331955</v>
      </c>
      <c r="B171" s="43">
        <v>0.82499999999999996</v>
      </c>
      <c r="C171" s="43">
        <f t="array" aca="1" ref="C171" ca="1">INDEX(y.ascendente,ROWS($A171:A$178))</f>
        <v>0.37943770010711403</v>
      </c>
      <c r="D171" s="43">
        <f>INDEX(x.ascendente,ROWS(B171:B$178))</f>
        <v>0.17499999999999999</v>
      </c>
      <c r="E171" s="43">
        <f t="shared" si="32"/>
        <v>0.82499999999999996</v>
      </c>
      <c r="O171" s="319"/>
    </row>
    <row r="172" spans="1:15" ht="12.75">
      <c r="A172" s="43">
        <f t="shared" ca="1" si="31"/>
        <v>0.92615481245558318</v>
      </c>
      <c r="B172" s="43">
        <v>0.85</v>
      </c>
      <c r="C172" s="43">
        <f t="array" aca="1" ref="C172" ca="1">INDEX(y.ascendente,ROWS($A172:A$178))</f>
        <v>0.33824236012771625</v>
      </c>
      <c r="D172" s="43">
        <f>INDEX(x.ascendente,ROWS(B172:B$178))</f>
        <v>0.15</v>
      </c>
      <c r="E172" s="43">
        <f t="shared" si="32"/>
        <v>0.85</v>
      </c>
      <c r="O172" s="319"/>
    </row>
    <row r="173" spans="1:15" ht="12.75">
      <c r="A173" s="43">
        <f t="shared" ca="1" si="31"/>
        <v>0.93875324380277991</v>
      </c>
      <c r="B173" s="43">
        <v>0.875</v>
      </c>
      <c r="C173" s="43">
        <f t="array" aca="1" ref="C173" ca="1">INDEX(y.ascendente,ROWS($A173:A$178))</f>
        <v>0.29302344412928544</v>
      </c>
      <c r="D173" s="43">
        <f>INDEX(x.ascendente,ROWS(B173:B$178))</f>
        <v>0.125</v>
      </c>
      <c r="E173" s="43">
        <f t="shared" si="32"/>
        <v>0.875</v>
      </c>
      <c r="O173" s="319"/>
    </row>
    <row r="174" spans="1:15" ht="12.75">
      <c r="A174" s="43">
        <f t="shared" ca="1" si="31"/>
        <v>0.9512557747132635</v>
      </c>
      <c r="B174" s="43">
        <v>0.9</v>
      </c>
      <c r="C174" s="43">
        <f t="array" aca="1" ref="C174" ca="1">INDEX(y.ascendente,ROWS($A174:A$178))</f>
        <v>0.24338907240355487</v>
      </c>
      <c r="D174" s="43">
        <f>INDEX(x.ascendente,ROWS(B174:B$178))</f>
        <v>0.1</v>
      </c>
      <c r="E174" s="43">
        <f t="shared" si="32"/>
        <v>0.9</v>
      </c>
      <c r="O174" s="319"/>
    </row>
    <row r="175" spans="1:15" ht="12.75">
      <c r="A175" s="43">
        <f t="shared" ca="1" si="31"/>
        <v>0.96365726211764446</v>
      </c>
      <c r="B175" s="43">
        <v>0.92500000000000004</v>
      </c>
      <c r="C175" s="43">
        <f t="array" aca="1" ref="C175" ca="1">INDEX(y.ascendente,ROWS($A175:A$178))</f>
        <v>0.1891148125944746</v>
      </c>
      <c r="D175" s="43">
        <f>INDEX(x.ascendente,ROWS(B175:B$178))</f>
        <v>7.4999999999999997E-2</v>
      </c>
      <c r="E175" s="43">
        <f t="shared" si="32"/>
        <v>0.92500000000000004</v>
      </c>
      <c r="O175" s="319"/>
    </row>
    <row r="176" spans="1:15" ht="12.75">
      <c r="A176" s="43">
        <f t="shared" ca="1" si="31"/>
        <v>0.975943992970008</v>
      </c>
      <c r="B176" s="43">
        <v>0.95</v>
      </c>
      <c r="C176" s="43">
        <f t="array" aca="1" ref="C176" ca="1">INDEX(y.ascendente,ROWS($A176:A$178))</f>
        <v>0.1302503104520204</v>
      </c>
      <c r="D176" s="43">
        <f>INDEX(x.ascendente,ROWS(B176:B$178))</f>
        <v>0.05</v>
      </c>
      <c r="E176" s="43">
        <f t="shared" si="32"/>
        <v>0.95</v>
      </c>
      <c r="O176" s="319"/>
    </row>
    <row r="177" spans="1:17" ht="12.75">
      <c r="A177" s="43">
        <f t="shared" ca="1" si="31"/>
        <v>0.98807842154268966</v>
      </c>
      <c r="B177" s="43">
        <v>0.97499999999999998</v>
      </c>
      <c r="C177" s="43">
        <f t="array" aca="1" ref="C177" ca="1">INDEX(y.ascendente,ROWS($A177:A$178))</f>
        <v>6.7251383268311107E-2</v>
      </c>
      <c r="D177" s="43">
        <f>INDEX(x.ascendente,ROWS(B177:B$178))</f>
        <v>2.5000000000000001E-2</v>
      </c>
      <c r="E177" s="43">
        <f t="shared" si="32"/>
        <v>0.97499999999999998</v>
      </c>
      <c r="O177" s="319"/>
    </row>
    <row r="178" spans="1:17" ht="12.75">
      <c r="A178" s="43">
        <f t="shared" ca="1" si="31"/>
        <v>0.99996839492975043</v>
      </c>
      <c r="B178" s="321">
        <v>1</v>
      </c>
      <c r="C178" s="43">
        <f t="array" aca="1" ref="C178" ca="1">INDEX(y.ascendente,ROWS($A178:A$178))</f>
        <v>1.1394919696843253E-3</v>
      </c>
      <c r="D178" s="43">
        <f>INDEX(x.ascendente,ROWS(B178:B$178))</f>
        <v>0</v>
      </c>
      <c r="E178" s="321">
        <f t="shared" si="32"/>
        <v>1</v>
      </c>
      <c r="O178" s="319"/>
    </row>
    <row r="179" spans="1:17" ht="12.75">
      <c r="A179" s="35"/>
      <c r="B179" s="322" t="s">
        <v>324</v>
      </c>
      <c r="C179" s="323" t="s">
        <v>325</v>
      </c>
      <c r="D179" s="324"/>
      <c r="E179" s="324"/>
      <c r="F179" s="325"/>
      <c r="O179" s="319"/>
    </row>
    <row r="180" spans="1:17" ht="12.75">
      <c r="A180" s="35"/>
      <c r="B180" s="43">
        <f>zF</f>
        <v>0.66891348307277509</v>
      </c>
      <c r="C180" s="326">
        <f ca="1">IF(Alimentacion="Vapor sobrecalentado",zF-0.3,IF(Alimentacion="Vapor Saturado",zF-0.3,IF(Alimentacion="Líquido + Vapor",zF+0.3/qm,IF(Alimentacion="Líquido Saturado",zF,IF(Alimentacion="Líq. Subenfriado T.entrada",zF+0.3/qm,IF(Alimentacion="Líq. subenfriado Moles condensados",zF+0.3/qm))))))</f>
        <v>0.54034205450134654</v>
      </c>
      <c r="D180" s="326"/>
      <c r="E180" s="327"/>
      <c r="F180" s="43">
        <f>IF(Alimentacion="Líquido saturado",zF,zF)</f>
        <v>0.66891348307277509</v>
      </c>
      <c r="G180" s="327"/>
      <c r="H180" s="327"/>
      <c r="I180" s="327"/>
      <c r="J180" s="327"/>
      <c r="K180" s="327"/>
      <c r="L180" s="327"/>
      <c r="M180" s="327"/>
      <c r="O180" s="319"/>
    </row>
    <row r="181" spans="1:17" ht="12.75">
      <c r="A181" s="35"/>
      <c r="B181" s="43">
        <f>IF(Tangencia="Sin Tangencia",IF(ISBLANK(q.equilibrio.tan),Paso.q,IF(Alimentacion="Líquido Saturado",zF,q.equilibrio.tan)),IF(Tangencia="Tangencia en el enriquecimiento",IF(ISBLANK(q.equilibrio.tan),Paso.q,IF(Alimentacion="Líquido Saturado",zF,(qb-EnRm.b)/(EnRm.m-qm)))))</f>
        <v>0.61399999999999999</v>
      </c>
      <c r="C181" s="328"/>
      <c r="D181" s="329"/>
      <c r="E181" s="330"/>
      <c r="F181" s="43">
        <f ca="1">IF(ISBLANK(T.ref),,IF(Alimentacion="Líquido saturado",m10y*B181^10+m9y*B181^9+m8y*B181^8+m7y*B181^7+m6y*B181^6+m5y*B181^5+m4y*B181^4+m3y*B181^3+m2y*B181^2+m1y*B181^1+mby,qm*B181+qb))</f>
        <v>0.79704494357591704</v>
      </c>
      <c r="G181" s="327"/>
      <c r="H181" s="327"/>
      <c r="I181" s="327"/>
      <c r="J181" s="327"/>
      <c r="K181" s="327"/>
      <c r="L181" s="327"/>
      <c r="M181" s="327"/>
      <c r="O181" s="319"/>
    </row>
    <row r="182" spans="1:17" ht="12.75">
      <c r="A182" s="35"/>
      <c r="B182" s="331" t="s">
        <v>326</v>
      </c>
      <c r="C182" s="332"/>
      <c r="D182" s="332"/>
      <c r="E182" s="332"/>
      <c r="F182" s="332"/>
      <c r="G182" s="333"/>
      <c r="H182" s="327"/>
      <c r="I182" s="327"/>
      <c r="J182" s="327"/>
      <c r="K182" s="327"/>
      <c r="L182" s="327"/>
      <c r="M182" s="327"/>
      <c r="O182" s="319"/>
    </row>
    <row r="183" spans="1:17" ht="12.75">
      <c r="A183" s="35"/>
      <c r="B183" s="43">
        <f>xD</f>
        <v>0.9746107916224116</v>
      </c>
      <c r="C183" s="326"/>
      <c r="D183" s="326"/>
      <c r="E183" s="327"/>
      <c r="F183" s="327"/>
      <c r="G183" s="25">
        <v>0</v>
      </c>
      <c r="H183" s="327"/>
      <c r="I183" s="327"/>
      <c r="J183" s="327"/>
      <c r="K183" s="327"/>
      <c r="L183" s="327"/>
      <c r="M183" s="327"/>
      <c r="O183" s="319"/>
    </row>
    <row r="184" spans="1:17" ht="12.75">
      <c r="A184" s="35"/>
      <c r="B184" s="43">
        <f>xD</f>
        <v>0.9746107916224116</v>
      </c>
      <c r="C184" s="328"/>
      <c r="D184" s="328"/>
      <c r="E184" s="330"/>
      <c r="F184" s="330"/>
      <c r="G184" s="43">
        <f>xD</f>
        <v>0.9746107916224116</v>
      </c>
      <c r="H184" s="327"/>
      <c r="I184" s="327"/>
      <c r="J184" s="327"/>
      <c r="K184" s="327"/>
      <c r="L184" s="327"/>
      <c r="M184" s="327"/>
      <c r="O184" s="319"/>
    </row>
    <row r="185" spans="1:17" ht="12.75">
      <c r="A185" s="35"/>
      <c r="B185" s="331" t="s">
        <v>327</v>
      </c>
      <c r="C185" s="332"/>
      <c r="D185" s="334"/>
      <c r="E185" s="332"/>
      <c r="F185" s="332"/>
      <c r="G185" s="332"/>
      <c r="H185" s="333"/>
      <c r="I185" s="327"/>
      <c r="J185" s="327"/>
      <c r="K185" s="327"/>
      <c r="L185" s="327"/>
      <c r="M185" s="327"/>
      <c r="O185" s="319"/>
    </row>
    <row r="186" spans="1:17" ht="12.75">
      <c r="A186" s="35"/>
      <c r="B186" s="43">
        <f>xW</f>
        <v>1.0050517210906332E-2</v>
      </c>
      <c r="C186" s="326"/>
      <c r="D186" s="326"/>
      <c r="E186" s="327"/>
      <c r="F186" s="327"/>
      <c r="G186" s="72"/>
      <c r="H186" s="25">
        <v>0</v>
      </c>
      <c r="I186" s="327"/>
      <c r="J186" s="327"/>
      <c r="K186" s="327"/>
      <c r="L186" s="327"/>
      <c r="M186" s="327"/>
      <c r="O186" s="319"/>
    </row>
    <row r="187" spans="1:17" ht="12.75">
      <c r="A187" s="35"/>
      <c r="B187" s="25">
        <f>xW</f>
        <v>1.0050517210906332E-2</v>
      </c>
      <c r="C187" s="329"/>
      <c r="D187" s="329"/>
      <c r="E187" s="335"/>
      <c r="F187" s="330"/>
      <c r="G187" s="330"/>
      <c r="H187" s="43">
        <f>IF(TipoDest="Vapor vivo", 0,xW)</f>
        <v>1.0050517210906332E-2</v>
      </c>
      <c r="I187" s="327"/>
      <c r="J187" s="327"/>
      <c r="K187" s="327"/>
      <c r="L187" s="327"/>
      <c r="M187" s="327"/>
      <c r="O187" s="319"/>
    </row>
    <row r="188" spans="1:17" ht="15.75" customHeight="1">
      <c r="A188" s="35"/>
      <c r="B188" s="331" t="s">
        <v>328</v>
      </c>
      <c r="C188" s="334"/>
      <c r="D188" s="334"/>
      <c r="E188" s="334"/>
      <c r="F188" s="332"/>
      <c r="G188" s="332"/>
      <c r="H188" s="332"/>
      <c r="I188" s="333"/>
      <c r="J188" s="327"/>
      <c r="K188" s="327"/>
      <c r="L188" s="327"/>
      <c r="M188" s="327"/>
      <c r="O188" s="319"/>
    </row>
    <row r="189" spans="1:17" ht="12.75">
      <c r="A189" s="35"/>
      <c r="B189" s="43">
        <f>zF</f>
        <v>0.66891348307277509</v>
      </c>
      <c r="C189" s="336"/>
      <c r="D189" s="336"/>
      <c r="E189" s="72"/>
      <c r="F189" s="327"/>
      <c r="G189" s="327"/>
      <c r="H189" s="327"/>
      <c r="I189" s="25">
        <v>0</v>
      </c>
      <c r="J189" s="327"/>
      <c r="K189" s="327"/>
      <c r="L189" s="327"/>
      <c r="M189" s="327"/>
      <c r="O189" s="319"/>
    </row>
    <row r="190" spans="1:17" ht="12.75">
      <c r="A190" s="35"/>
      <c r="B190" s="43">
        <f>zF</f>
        <v>0.66891348307277509</v>
      </c>
      <c r="C190" s="329"/>
      <c r="D190" s="329"/>
      <c r="E190" s="335"/>
      <c r="F190" s="330"/>
      <c r="G190" s="330"/>
      <c r="H190" s="330"/>
      <c r="I190" s="43">
        <f>zF</f>
        <v>0.66891348307277509</v>
      </c>
      <c r="J190" s="327"/>
      <c r="K190" s="327"/>
      <c r="L190" s="327"/>
      <c r="M190" s="327"/>
      <c r="O190" s="319"/>
    </row>
    <row r="191" spans="1:17" ht="12.75">
      <c r="A191" s="35"/>
      <c r="B191" s="331" t="s">
        <v>329</v>
      </c>
      <c r="C191" s="332" t="s">
        <v>188</v>
      </c>
      <c r="D191" s="332" t="s">
        <v>189</v>
      </c>
      <c r="E191" s="332"/>
      <c r="F191" s="332"/>
      <c r="G191" s="332"/>
      <c r="H191" s="332"/>
      <c r="I191" s="332"/>
      <c r="J191" s="333"/>
      <c r="K191" s="327"/>
      <c r="L191" s="327"/>
      <c r="M191" s="327"/>
      <c r="O191" s="319"/>
    </row>
    <row r="192" spans="1:17" ht="14.25">
      <c r="A192" s="72"/>
      <c r="B192" s="43" t="e">
        <f>IF(EnRmOcultar="Ocultar",#N/A,xD)</f>
        <v>#N/A</v>
      </c>
      <c r="C192" s="376">
        <f>xD</f>
        <v>0.9746107916224116</v>
      </c>
      <c r="D192" s="326">
        <f>xD</f>
        <v>0.9746107916224116</v>
      </c>
      <c r="E192" s="327"/>
      <c r="F192" s="327"/>
      <c r="G192" s="327"/>
      <c r="H192" s="327"/>
      <c r="I192" s="327"/>
      <c r="J192" s="43" t="e">
        <f>IF(EnRmOcultar="Ocultar",#N/A,xD)</f>
        <v>#N/A</v>
      </c>
      <c r="K192" s="327"/>
      <c r="L192" s="327"/>
      <c r="M192" s="327"/>
      <c r="N192" s="327"/>
      <c r="O192" s="337"/>
      <c r="P192" s="327"/>
      <c r="Q192" s="327"/>
    </row>
    <row r="193" spans="1:22" ht="12.75">
      <c r="B193" s="43" t="e">
        <f>IF(EnRmOcultar="Ocultar",#N/A,IF(ISBLANK(T.ref),,q.equilibrio.tan))</f>
        <v>#N/A</v>
      </c>
      <c r="C193" s="338">
        <f ca="1">IF(ISBLANK(T.ref),#N/A,q.equilibrio.tan)</f>
        <v>0.61399999999999999</v>
      </c>
      <c r="D193" s="338">
        <f ca="1">m10y*C193^10+m9y*C193^9+m8y*C193^8+m7y*C193^7+m6y*C193^6+m5y*C193^5+m4y*C193^4+m3y*C193^3+m2y*C193^2+m1y*C193^1+mby</f>
        <v>0.79919417712877827</v>
      </c>
      <c r="E193" s="327"/>
      <c r="F193" s="327"/>
      <c r="G193" s="327"/>
      <c r="H193" s="327"/>
      <c r="I193" s="327"/>
      <c r="J193" s="43" t="e">
        <f>IF(EnRmOcultar="Ocultar",#N/A,m10y*B193^10+m9y*B193^9+m8y*B193^8+m7y*B193^7+m6y*B193^6+m5y*B193^5+m4y*B193^4+m3y*B193^3+m2y*B193^2+m1y*B193^1+mby)</f>
        <v>#N/A</v>
      </c>
      <c r="K193" s="327"/>
      <c r="L193" s="327"/>
      <c r="M193" s="327"/>
      <c r="N193" s="327"/>
      <c r="O193" s="337"/>
      <c r="P193" s="327"/>
      <c r="Q193" s="327"/>
    </row>
    <row r="194" spans="1:22" ht="12.75">
      <c r="B194" s="377" t="e">
        <f>IF(EnRmOcultar="Ocultar",#N/A,0)</f>
        <v>#N/A</v>
      </c>
      <c r="C194" s="379">
        <f ca="1">INTERCEPT(D192:D193,C192:C193)</f>
        <v>0.50051814246404902</v>
      </c>
      <c r="D194" s="380">
        <f ca="1">SLOPE(D192:D193,C192:C193)</f>
        <v>0.48644305319988485</v>
      </c>
      <c r="E194" s="330"/>
      <c r="F194" s="330"/>
      <c r="G194" s="330"/>
      <c r="H194" s="330"/>
      <c r="I194" s="330"/>
      <c r="J194" s="25" t="e">
        <f>IF(EnRmOcultar="Ocultar",#N/A,EnRm.b)</f>
        <v>#N/A</v>
      </c>
      <c r="K194" s="327"/>
      <c r="L194" s="327"/>
      <c r="M194" s="327"/>
      <c r="N194" s="327"/>
      <c r="O194" s="337"/>
      <c r="P194" s="327"/>
      <c r="Q194" s="327"/>
    </row>
    <row r="195" spans="1:22" ht="12.75">
      <c r="A195" s="72"/>
      <c r="B195" s="331" t="s">
        <v>332</v>
      </c>
      <c r="C195" s="378"/>
      <c r="D195" s="378"/>
      <c r="E195" s="332"/>
      <c r="F195" s="332"/>
      <c r="G195" s="332"/>
      <c r="H195" s="332"/>
      <c r="I195" s="332"/>
      <c r="J195" s="332"/>
      <c r="K195" s="333"/>
      <c r="L195" s="327"/>
      <c r="M195" s="327"/>
      <c r="N195" s="327"/>
      <c r="O195" s="337"/>
      <c r="P195" s="327"/>
      <c r="Q195" s="327"/>
    </row>
    <row r="196" spans="1:22" ht="12.75">
      <c r="A196" s="72"/>
      <c r="B196" s="43">
        <f>xD</f>
        <v>0.9746107916224116</v>
      </c>
      <c r="C196" s="338" t="s">
        <v>330</v>
      </c>
      <c r="D196" s="338" t="s">
        <v>331</v>
      </c>
      <c r="E196" s="327"/>
      <c r="F196" s="327"/>
      <c r="G196" s="327"/>
      <c r="H196" s="327"/>
      <c r="I196" s="327"/>
      <c r="J196" s="327"/>
      <c r="K196" s="43">
        <f>xD</f>
        <v>0.9746107916224116</v>
      </c>
      <c r="L196" s="327"/>
      <c r="M196" s="327"/>
      <c r="N196" s="327"/>
      <c r="O196" s="337"/>
      <c r="P196" s="327"/>
      <c r="Q196" s="327"/>
    </row>
    <row r="197" spans="1:22" ht="12.75">
      <c r="A197" s="72"/>
      <c r="B197" s="25">
        <v>0</v>
      </c>
      <c r="C197" s="328">
        <f ca="1">INTERCEPT(K196:K197,B196:B197)</f>
        <v>0.33672204352973845</v>
      </c>
      <c r="D197" s="329">
        <f ca="1">SLOPE(K196:K197,B196:B197)</f>
        <v>0.65450614088809211</v>
      </c>
      <c r="E197" s="330"/>
      <c r="F197" s="330"/>
      <c r="G197" s="330"/>
      <c r="H197" s="330"/>
      <c r="I197" s="330"/>
      <c r="J197" s="330"/>
      <c r="K197" s="43">
        <f ca="1">IF(ISBLANK('Resolución McCabe-Thiele'!I79),,xD/(RelRefl+1))</f>
        <v>0.3367220435297385</v>
      </c>
      <c r="L197" s="327"/>
      <c r="M197" s="327"/>
      <c r="N197" s="327"/>
      <c r="O197" s="337"/>
      <c r="P197" s="327"/>
      <c r="Q197" s="327"/>
    </row>
    <row r="198" spans="1:22" ht="12.75">
      <c r="A198" s="72"/>
      <c r="B198" s="331" t="s">
        <v>333</v>
      </c>
      <c r="C198" s="332"/>
      <c r="D198" s="332"/>
      <c r="E198" s="332"/>
      <c r="F198" s="332"/>
      <c r="G198" s="332"/>
      <c r="H198" s="332"/>
      <c r="I198" s="332"/>
      <c r="J198" s="332"/>
      <c r="K198" s="332"/>
      <c r="L198" s="333"/>
      <c r="M198" s="327"/>
      <c r="N198" s="327"/>
      <c r="O198" s="337"/>
      <c r="P198" s="327"/>
      <c r="Q198" s="327"/>
    </row>
    <row r="199" spans="1:22" ht="12.75">
      <c r="A199" s="72"/>
      <c r="B199" s="43">
        <f ca="1">IF(Alimentacion="Líquido saturado",zF,(qb-En.b)/(En.m-qm))</f>
        <v>0.63356468212072292</v>
      </c>
      <c r="C199" s="338" t="s">
        <v>330</v>
      </c>
      <c r="D199" s="338" t="s">
        <v>331</v>
      </c>
      <c r="E199" s="327"/>
      <c r="F199" s="327"/>
      <c r="G199" s="327"/>
      <c r="H199" s="327"/>
      <c r="I199" s="327"/>
      <c r="J199" s="327"/>
      <c r="K199" s="327"/>
      <c r="L199" s="43">
        <f ca="1">IF(Alimentacion="Líquido saturado",En.m* zF+En.b,qm*B199+qb)</f>
        <v>0.75139401862756339</v>
      </c>
      <c r="M199" s="327"/>
      <c r="N199" s="327"/>
      <c r="O199" s="337"/>
      <c r="P199" s="327"/>
      <c r="Q199" s="327"/>
    </row>
    <row r="200" spans="1:22" ht="13.5" thickBot="1">
      <c r="A200" s="72"/>
      <c r="B200" s="43">
        <f>xW</f>
        <v>1.0050517210906332E-2</v>
      </c>
      <c r="C200" s="328">
        <f ca="1">INTERCEPT(L199:L200,B199:B200)</f>
        <v>-1.899308534045796E-3</v>
      </c>
      <c r="D200" s="328">
        <f ca="1">SLOPE(L199:L200,B199:B200)</f>
        <v>1.1889761983577116</v>
      </c>
      <c r="E200" s="330"/>
      <c r="F200" s="330"/>
      <c r="G200" s="330"/>
      <c r="H200" s="330"/>
      <c r="I200" s="330"/>
      <c r="J200" s="330"/>
      <c r="K200" s="330"/>
      <c r="L200" s="43">
        <f>IF(TipoDest="Vapor vivo", 0,xW)</f>
        <v>1.0050517210906332E-2</v>
      </c>
      <c r="M200" s="327"/>
      <c r="N200" s="327"/>
      <c r="O200" s="337"/>
      <c r="P200" s="327"/>
      <c r="Q200" s="327"/>
    </row>
    <row r="201" spans="1:22" ht="12.75">
      <c r="A201" s="72"/>
      <c r="B201" s="331" t="s">
        <v>334</v>
      </c>
      <c r="C201" s="332"/>
      <c r="D201" s="332"/>
      <c r="E201" s="332"/>
      <c r="F201" s="332"/>
      <c r="G201" s="332"/>
      <c r="H201" s="332"/>
      <c r="I201" s="332"/>
      <c r="J201" s="332"/>
      <c r="K201" s="332"/>
      <c r="L201" s="332"/>
      <c r="M201" s="333"/>
      <c r="N201" s="327"/>
      <c r="O201" s="337"/>
      <c r="P201" s="327"/>
      <c r="Q201" s="391" t="s">
        <v>339</v>
      </c>
      <c r="R201" s="392" t="s">
        <v>340</v>
      </c>
      <c r="S201" s="392" t="s">
        <v>341</v>
      </c>
      <c r="T201" s="393" t="s">
        <v>342</v>
      </c>
      <c r="U201" s="393" t="s">
        <v>343</v>
      </c>
      <c r="V201" s="394" t="s">
        <v>338</v>
      </c>
    </row>
    <row r="202" spans="1:22" ht="12.75">
      <c r="A202" s="72"/>
      <c r="B202" s="25">
        <f>xD</f>
        <v>0.9746107916224116</v>
      </c>
      <c r="C202" s="339"/>
      <c r="D202" s="338"/>
      <c r="E202" s="340"/>
      <c r="F202" s="340"/>
      <c r="G202" s="340"/>
      <c r="H202" s="340"/>
      <c r="I202" s="340"/>
      <c r="J202" s="340"/>
      <c r="K202" s="340"/>
      <c r="L202" s="340"/>
      <c r="M202" s="43">
        <f>xD</f>
        <v>0.9746107916224116</v>
      </c>
      <c r="N202" s="327"/>
      <c r="O202" s="337"/>
      <c r="P202" s="327"/>
      <c r="Q202" s="384"/>
      <c r="R202" s="385"/>
      <c r="S202" s="385"/>
      <c r="T202" s="385"/>
      <c r="U202" s="385"/>
      <c r="V202" s="386"/>
    </row>
    <row r="203" spans="1:22" ht="12.75">
      <c r="A203" s="72"/>
      <c r="B203" s="25" t="e">
        <f>IF(Mostrar.Nm="Mostrar",xD,#N/A)</f>
        <v>#N/A</v>
      </c>
      <c r="C203" s="341"/>
      <c r="D203" s="342" t="s">
        <v>335</v>
      </c>
      <c r="E203" s="343"/>
      <c r="F203" s="343"/>
      <c r="G203" s="343"/>
      <c r="H203" s="343"/>
      <c r="I203" s="343"/>
      <c r="J203" s="343"/>
      <c r="K203" s="343"/>
      <c r="L203" s="343"/>
      <c r="M203" s="43" t="e">
        <f>B203</f>
        <v>#N/A</v>
      </c>
      <c r="N203" s="327"/>
      <c r="O203" s="337"/>
      <c r="P203" s="327"/>
      <c r="Q203" s="384"/>
      <c r="R203" s="385"/>
      <c r="S203" s="385"/>
      <c r="T203" s="385"/>
      <c r="U203" s="385"/>
      <c r="V203" s="386"/>
    </row>
    <row r="204" spans="1:22" ht="12.75">
      <c r="A204" s="72"/>
      <c r="B204" s="43" t="e">
        <f>IF(B203&gt;xW,V204,#N/A)</f>
        <v>#N/A</v>
      </c>
      <c r="C204" s="341"/>
      <c r="D204" s="344">
        <f>(COUNT(B204:B299))/2</f>
        <v>0</v>
      </c>
      <c r="E204" s="343"/>
      <c r="F204" s="343"/>
      <c r="G204" s="343"/>
      <c r="H204" s="343"/>
      <c r="I204" s="343"/>
      <c r="J204" s="343"/>
      <c r="K204" s="343"/>
      <c r="L204" s="343"/>
      <c r="M204" s="43" t="e">
        <f>M203</f>
        <v>#N/A</v>
      </c>
      <c r="N204" s="327"/>
      <c r="O204" s="337"/>
      <c r="P204" s="327"/>
      <c r="Q204" s="384" t="e">
        <f>B203</f>
        <v>#N/A</v>
      </c>
      <c r="R204" s="385" t="e">
        <f>INDEX(x.ascendente,MATCH(B203,y.ascendente,1))</f>
        <v>#N/A</v>
      </c>
      <c r="S204" s="385" t="e">
        <f>INDEX(x.descendente,MATCH(B203,y.descendente,-1))</f>
        <v>#N/A</v>
      </c>
      <c r="T204" s="385" t="e">
        <f>INDEX(y.ascendente,MATCH(B203,y.ascendente,1))</f>
        <v>#N/A</v>
      </c>
      <c r="U204" s="385" t="e">
        <f>INDEX(y.descendente,MATCH(B203,y.descendente,-1))</f>
        <v>#N/A</v>
      </c>
      <c r="V204" s="386" t="e">
        <f>FORECAST(B203,R204:S204,T204:U204)</f>
        <v>#N/A</v>
      </c>
    </row>
    <row r="205" spans="1:22" ht="12.75">
      <c r="A205" s="35"/>
      <c r="B205" s="43" t="e">
        <f>B204</f>
        <v>#N/A</v>
      </c>
      <c r="C205" s="341"/>
      <c r="D205" s="339"/>
      <c r="E205" s="343"/>
      <c r="F205" s="343"/>
      <c r="G205" s="343"/>
      <c r="H205" s="343"/>
      <c r="I205" s="343"/>
      <c r="J205" s="343"/>
      <c r="K205" s="343"/>
      <c r="L205" s="343"/>
      <c r="M205" s="43" t="e">
        <f>B205</f>
        <v>#N/A</v>
      </c>
      <c r="O205" s="319"/>
      <c r="Q205" s="387"/>
      <c r="R205" s="388"/>
      <c r="S205" s="388"/>
      <c r="T205" s="388"/>
      <c r="U205" s="388"/>
      <c r="V205" s="386"/>
    </row>
    <row r="206" spans="1:22" ht="12.75">
      <c r="A206" s="35"/>
      <c r="B206" s="43" t="e">
        <f>IF(B205&gt;xW,V206,#N/A)</f>
        <v>#N/A</v>
      </c>
      <c r="C206" s="341"/>
      <c r="D206" s="341"/>
      <c r="E206" s="343"/>
      <c r="F206" s="343"/>
      <c r="G206" s="343"/>
      <c r="H206" s="343"/>
      <c r="I206" s="343"/>
      <c r="J206" s="343"/>
      <c r="K206" s="343"/>
      <c r="L206" s="343"/>
      <c r="M206" s="43" t="e">
        <f>M205</f>
        <v>#N/A</v>
      </c>
      <c r="O206" s="319"/>
      <c r="Q206" s="384" t="e">
        <f>B205</f>
        <v>#N/A</v>
      </c>
      <c r="R206" s="385" t="e">
        <f>INDEX(x.ascendente,MATCH(B205,y.ascendente,1))</f>
        <v>#N/A</v>
      </c>
      <c r="S206" s="385" t="e">
        <f>INDEX(x.descendente,MATCH(B205,y.descendente,-1))</f>
        <v>#N/A</v>
      </c>
      <c r="T206" s="385" t="e">
        <f>INDEX(y.ascendente,MATCH(B205,y.ascendente,1))</f>
        <v>#N/A</v>
      </c>
      <c r="U206" s="385" t="e">
        <f>INDEX(y.descendente,MATCH(B205,y.descendente,-1))</f>
        <v>#N/A</v>
      </c>
      <c r="V206" s="386" t="e">
        <f t="shared" ref="V206" si="33">FORECAST(B205,R206:S206,T206:U206)</f>
        <v>#N/A</v>
      </c>
    </row>
    <row r="207" spans="1:22" ht="12.75">
      <c r="A207" s="35"/>
      <c r="B207" s="43" t="e">
        <f t="shared" ref="B207" si="34">B206</f>
        <v>#N/A</v>
      </c>
      <c r="C207" s="341"/>
      <c r="D207" s="341"/>
      <c r="E207" s="343"/>
      <c r="F207" s="343"/>
      <c r="G207" s="343"/>
      <c r="H207" s="343"/>
      <c r="I207" s="343"/>
      <c r="J207" s="343"/>
      <c r="K207" s="343"/>
      <c r="L207" s="343"/>
      <c r="M207" s="43" t="e">
        <f>B207</f>
        <v>#N/A</v>
      </c>
      <c r="O207" s="319"/>
      <c r="Q207" s="387"/>
      <c r="R207" s="388"/>
      <c r="S207" s="388"/>
      <c r="T207" s="388"/>
      <c r="U207" s="388"/>
      <c r="V207" s="386"/>
    </row>
    <row r="208" spans="1:22" ht="12.75">
      <c r="A208" s="35"/>
      <c r="B208" s="43" t="e">
        <f>IF(B207&gt;xW,V208,#N/A)</f>
        <v>#N/A</v>
      </c>
      <c r="C208" s="341"/>
      <c r="D208" s="341"/>
      <c r="E208" s="343"/>
      <c r="F208" s="343"/>
      <c r="G208" s="343"/>
      <c r="H208" s="343"/>
      <c r="I208" s="343"/>
      <c r="J208" s="343"/>
      <c r="K208" s="343"/>
      <c r="L208" s="343"/>
      <c r="M208" s="43" t="e">
        <f>M207</f>
        <v>#N/A</v>
      </c>
      <c r="O208" s="319"/>
      <c r="Q208" s="384" t="e">
        <f t="shared" ref="Q208" si="35">B207</f>
        <v>#N/A</v>
      </c>
      <c r="R208" s="385" t="e">
        <f>INDEX(x.ascendente,MATCH(B207,y.ascendente,1))</f>
        <v>#N/A</v>
      </c>
      <c r="S208" s="385" t="e">
        <f>INDEX(x.descendente,MATCH(B207,y.descendente,-1))</f>
        <v>#N/A</v>
      </c>
      <c r="T208" s="385" t="e">
        <f>INDEX(y.ascendente,MATCH(B207,y.ascendente,1))</f>
        <v>#N/A</v>
      </c>
      <c r="U208" s="385" t="e">
        <f>INDEX(y.descendente,MATCH(B207,y.descendente,-1))</f>
        <v>#N/A</v>
      </c>
      <c r="V208" s="386" t="e">
        <f t="shared" ref="V208" si="36">FORECAST(B207,R208:S208,T208:U208)</f>
        <v>#N/A</v>
      </c>
    </row>
    <row r="209" spans="1:22" ht="12.75">
      <c r="A209" s="35"/>
      <c r="B209" s="43" t="e">
        <f t="shared" ref="B209" si="37">B208</f>
        <v>#N/A</v>
      </c>
      <c r="C209" s="341"/>
      <c r="D209" s="341"/>
      <c r="E209" s="343"/>
      <c r="F209" s="343"/>
      <c r="G209" s="343"/>
      <c r="H209" s="343"/>
      <c r="I209" s="343"/>
      <c r="J209" s="343"/>
      <c r="K209" s="343"/>
      <c r="L209" s="343"/>
      <c r="M209" s="43" t="e">
        <f>B209</f>
        <v>#N/A</v>
      </c>
      <c r="O209" s="319"/>
      <c r="Q209" s="387"/>
      <c r="R209" s="388"/>
      <c r="S209" s="388"/>
      <c r="T209" s="388"/>
      <c r="U209" s="388"/>
      <c r="V209" s="386"/>
    </row>
    <row r="210" spans="1:22" ht="12.75">
      <c r="A210" s="35"/>
      <c r="B210" s="43" t="e">
        <f>IF(B209&gt;xW,V210,#N/A)</f>
        <v>#N/A</v>
      </c>
      <c r="C210" s="341"/>
      <c r="D210" s="341"/>
      <c r="E210" s="343"/>
      <c r="F210" s="343"/>
      <c r="G210" s="343"/>
      <c r="H210" s="343"/>
      <c r="I210" s="343"/>
      <c r="J210" s="343"/>
      <c r="K210" s="343"/>
      <c r="L210" s="343"/>
      <c r="M210" s="43" t="e">
        <f>M209</f>
        <v>#N/A</v>
      </c>
      <c r="O210" s="319"/>
      <c r="Q210" s="384" t="e">
        <f t="shared" ref="Q210" si="38">B209</f>
        <v>#N/A</v>
      </c>
      <c r="R210" s="385" t="e">
        <f>INDEX(x.ascendente,MATCH(B209,y.ascendente,1))</f>
        <v>#N/A</v>
      </c>
      <c r="S210" s="385" t="e">
        <f>INDEX(x.descendente,MATCH(B209,y.descendente,-1))</f>
        <v>#N/A</v>
      </c>
      <c r="T210" s="385" t="e">
        <f>INDEX(y.ascendente,MATCH(B209,y.ascendente,1))</f>
        <v>#N/A</v>
      </c>
      <c r="U210" s="385" t="e">
        <f>INDEX(y.descendente,MATCH(B209,y.descendente,-1))</f>
        <v>#N/A</v>
      </c>
      <c r="V210" s="386" t="e">
        <f t="shared" ref="V210" si="39">FORECAST(B209,R210:S210,T210:U210)</f>
        <v>#N/A</v>
      </c>
    </row>
    <row r="211" spans="1:22" ht="12.75">
      <c r="A211" s="35"/>
      <c r="B211" s="43" t="e">
        <f t="shared" ref="B211" si="40">B210</f>
        <v>#N/A</v>
      </c>
      <c r="C211" s="341"/>
      <c r="D211" s="341"/>
      <c r="E211" s="343"/>
      <c r="F211" s="343"/>
      <c r="G211" s="343"/>
      <c r="H211" s="343"/>
      <c r="I211" s="343"/>
      <c r="J211" s="343"/>
      <c r="K211" s="343"/>
      <c r="L211" s="343"/>
      <c r="M211" s="43" t="e">
        <f>B211</f>
        <v>#N/A</v>
      </c>
      <c r="O211" s="319"/>
      <c r="Q211" s="387"/>
      <c r="R211" s="388"/>
      <c r="S211" s="388"/>
      <c r="T211" s="388"/>
      <c r="U211" s="388"/>
      <c r="V211" s="386"/>
    </row>
    <row r="212" spans="1:22" ht="15.75" customHeight="1">
      <c r="A212" s="35"/>
      <c r="B212" s="43" t="e">
        <f>IF(B211&gt;xW,V212,#N/A)</f>
        <v>#N/A</v>
      </c>
      <c r="C212" s="341"/>
      <c r="D212" s="341"/>
      <c r="E212" s="343"/>
      <c r="F212" s="343"/>
      <c r="G212" s="343"/>
      <c r="H212" s="343"/>
      <c r="I212" s="343"/>
      <c r="J212" s="343"/>
      <c r="K212" s="343"/>
      <c r="L212" s="343"/>
      <c r="M212" s="43" t="e">
        <f>M211</f>
        <v>#N/A</v>
      </c>
      <c r="O212" s="319"/>
      <c r="Q212" s="384" t="e">
        <f t="shared" ref="Q212" si="41">B211</f>
        <v>#N/A</v>
      </c>
      <c r="R212" s="385" t="e">
        <f>INDEX(x.ascendente,MATCH(B211,y.ascendente,1))</f>
        <v>#N/A</v>
      </c>
      <c r="S212" s="385" t="e">
        <f>INDEX(x.descendente,MATCH(B211,y.descendente,-1))</f>
        <v>#N/A</v>
      </c>
      <c r="T212" s="385" t="e">
        <f>INDEX(y.ascendente,MATCH(B211,y.ascendente,1))</f>
        <v>#N/A</v>
      </c>
      <c r="U212" s="385" t="e">
        <f>INDEX(y.descendente,MATCH(B211,y.descendente,-1))</f>
        <v>#N/A</v>
      </c>
      <c r="V212" s="386" t="e">
        <f t="shared" ref="V212" si="42">FORECAST(B211,R212:S212,T212:U212)</f>
        <v>#N/A</v>
      </c>
    </row>
    <row r="213" spans="1:22" ht="12.75">
      <c r="A213" s="35"/>
      <c r="B213" s="43" t="e">
        <f t="shared" ref="B213" si="43">B212</f>
        <v>#N/A</v>
      </c>
      <c r="C213" s="341"/>
      <c r="D213" s="341"/>
      <c r="E213" s="343"/>
      <c r="F213" s="343"/>
      <c r="G213" s="343"/>
      <c r="H213" s="343"/>
      <c r="I213" s="343"/>
      <c r="J213" s="343"/>
      <c r="K213" s="343"/>
      <c r="L213" s="343"/>
      <c r="M213" s="43" t="e">
        <f>B213</f>
        <v>#N/A</v>
      </c>
      <c r="O213" s="319"/>
      <c r="Q213" s="387"/>
      <c r="R213" s="388"/>
      <c r="S213" s="388"/>
      <c r="T213" s="388"/>
      <c r="U213" s="388"/>
      <c r="V213" s="386"/>
    </row>
    <row r="214" spans="1:22" ht="12.75">
      <c r="A214" s="35"/>
      <c r="B214" s="43" t="e">
        <f>IF(B213&gt;xW,V214,#N/A)</f>
        <v>#N/A</v>
      </c>
      <c r="C214" s="345"/>
      <c r="D214" s="345"/>
      <c r="E214" s="346"/>
      <c r="F214" s="346"/>
      <c r="G214" s="346"/>
      <c r="H214" s="346"/>
      <c r="I214" s="346"/>
      <c r="J214" s="346"/>
      <c r="K214" s="346"/>
      <c r="L214" s="346"/>
      <c r="M214" s="43" t="e">
        <f>M213</f>
        <v>#N/A</v>
      </c>
      <c r="O214" s="319"/>
      <c r="Q214" s="384" t="e">
        <f t="shared" ref="Q214" si="44">B213</f>
        <v>#N/A</v>
      </c>
      <c r="R214" s="385" t="e">
        <f>INDEX(x.ascendente,MATCH(B213,y.ascendente,1))</f>
        <v>#N/A</v>
      </c>
      <c r="S214" s="385" t="e">
        <f>INDEX(x.descendente,MATCH(B213,y.descendente,-1))</f>
        <v>#N/A</v>
      </c>
      <c r="T214" s="385" t="e">
        <f>INDEX(y.ascendente,MATCH(B213,y.ascendente,1))</f>
        <v>#N/A</v>
      </c>
      <c r="U214" s="385" t="e">
        <f>INDEX(y.descendente,MATCH(B213,y.descendente,-1))</f>
        <v>#N/A</v>
      </c>
      <c r="V214" s="386" t="e">
        <f t="shared" ref="V214" si="45">FORECAST(B213,R214:S214,T214:U214)</f>
        <v>#N/A</v>
      </c>
    </row>
    <row r="215" spans="1:22" ht="12.75">
      <c r="A215" s="35"/>
      <c r="B215" s="43" t="e">
        <f t="shared" ref="B215" si="46">B214</f>
        <v>#N/A</v>
      </c>
      <c r="C215" s="345"/>
      <c r="D215" s="345"/>
      <c r="E215" s="346"/>
      <c r="F215" s="346"/>
      <c r="G215" s="346"/>
      <c r="H215" s="346"/>
      <c r="I215" s="346"/>
      <c r="J215" s="346"/>
      <c r="K215" s="346"/>
      <c r="L215" s="346"/>
      <c r="M215" s="43" t="e">
        <f>B215</f>
        <v>#N/A</v>
      </c>
      <c r="O215" s="319"/>
      <c r="Q215" s="387"/>
      <c r="R215" s="388"/>
      <c r="S215" s="388"/>
      <c r="T215" s="388"/>
      <c r="U215" s="388"/>
      <c r="V215" s="386"/>
    </row>
    <row r="216" spans="1:22" ht="12.75">
      <c r="A216" s="35"/>
      <c r="B216" s="43" t="e">
        <f>IF(B215&gt;xW,V216,#N/A)</f>
        <v>#N/A</v>
      </c>
      <c r="C216" s="345"/>
      <c r="D216" s="345"/>
      <c r="E216" s="346"/>
      <c r="F216" s="346"/>
      <c r="G216" s="346"/>
      <c r="H216" s="346"/>
      <c r="I216" s="346"/>
      <c r="J216" s="346"/>
      <c r="K216" s="346"/>
      <c r="L216" s="346"/>
      <c r="M216" s="43" t="e">
        <f>M215</f>
        <v>#N/A</v>
      </c>
      <c r="O216" s="319"/>
      <c r="Q216" s="384" t="e">
        <f t="shared" ref="Q216" si="47">B215</f>
        <v>#N/A</v>
      </c>
      <c r="R216" s="385" t="e">
        <f>INDEX(x.ascendente,MATCH(B215,y.ascendente,1))</f>
        <v>#N/A</v>
      </c>
      <c r="S216" s="385" t="e">
        <f>INDEX(x.descendente,MATCH(B215,y.descendente,-1))</f>
        <v>#N/A</v>
      </c>
      <c r="T216" s="385" t="e">
        <f>INDEX(y.ascendente,MATCH(B215,y.ascendente,1))</f>
        <v>#N/A</v>
      </c>
      <c r="U216" s="385" t="e">
        <f>INDEX(y.descendente,MATCH(B215,y.descendente,-1))</f>
        <v>#N/A</v>
      </c>
      <c r="V216" s="386" t="e">
        <f t="shared" ref="V216" si="48">FORECAST(B215,R216:S216,T216:U216)</f>
        <v>#N/A</v>
      </c>
    </row>
    <row r="217" spans="1:22" ht="12.75">
      <c r="A217" s="35"/>
      <c r="B217" s="43" t="e">
        <f t="shared" ref="B217" si="49">B216</f>
        <v>#N/A</v>
      </c>
      <c r="C217" s="345"/>
      <c r="D217" s="345"/>
      <c r="E217" s="346"/>
      <c r="F217" s="346"/>
      <c r="G217" s="346"/>
      <c r="H217" s="346"/>
      <c r="I217" s="346"/>
      <c r="J217" s="346"/>
      <c r="K217" s="346"/>
      <c r="L217" s="346"/>
      <c r="M217" s="43" t="e">
        <f>B217</f>
        <v>#N/A</v>
      </c>
      <c r="O217" s="319"/>
      <c r="Q217" s="387"/>
      <c r="R217" s="388"/>
      <c r="S217" s="388"/>
      <c r="T217" s="388"/>
      <c r="U217" s="388"/>
      <c r="V217" s="386"/>
    </row>
    <row r="218" spans="1:22" ht="12.75">
      <c r="A218" s="35"/>
      <c r="B218" s="43" t="e">
        <f>IF(B217&gt;xW,V218,#N/A)</f>
        <v>#N/A</v>
      </c>
      <c r="C218" s="345"/>
      <c r="D218" s="345"/>
      <c r="E218" s="346"/>
      <c r="F218" s="346"/>
      <c r="G218" s="346"/>
      <c r="H218" s="346"/>
      <c r="I218" s="346"/>
      <c r="J218" s="346"/>
      <c r="K218" s="346"/>
      <c r="L218" s="346"/>
      <c r="M218" s="43" t="e">
        <f>M217</f>
        <v>#N/A</v>
      </c>
      <c r="O218" s="319"/>
      <c r="Q218" s="384" t="e">
        <f t="shared" ref="Q218" si="50">B217</f>
        <v>#N/A</v>
      </c>
      <c r="R218" s="385" t="e">
        <f>INDEX(x.ascendente,MATCH(B217,y.ascendente,1))</f>
        <v>#N/A</v>
      </c>
      <c r="S218" s="385" t="e">
        <f>INDEX(x.descendente,MATCH(B217,y.descendente,-1))</f>
        <v>#N/A</v>
      </c>
      <c r="T218" s="385" t="e">
        <f>INDEX(y.ascendente,MATCH(B217,y.ascendente,1))</f>
        <v>#N/A</v>
      </c>
      <c r="U218" s="385" t="e">
        <f>INDEX(y.descendente,MATCH(B217,y.descendente,-1))</f>
        <v>#N/A</v>
      </c>
      <c r="V218" s="386" t="e">
        <f t="shared" ref="V218" si="51">FORECAST(B217,R218:S218,T218:U218)</f>
        <v>#N/A</v>
      </c>
    </row>
    <row r="219" spans="1:22" ht="12.75">
      <c r="A219" s="35"/>
      <c r="B219" s="43" t="e">
        <f t="shared" ref="B219" si="52">B218</f>
        <v>#N/A</v>
      </c>
      <c r="C219" s="345"/>
      <c r="D219" s="345"/>
      <c r="E219" s="346"/>
      <c r="F219" s="346"/>
      <c r="G219" s="346"/>
      <c r="H219" s="346"/>
      <c r="I219" s="346"/>
      <c r="J219" s="346"/>
      <c r="K219" s="346"/>
      <c r="L219" s="346"/>
      <c r="M219" s="43" t="e">
        <f>B219</f>
        <v>#N/A</v>
      </c>
      <c r="O219" s="319"/>
      <c r="Q219" s="387"/>
      <c r="R219" s="388"/>
      <c r="S219" s="388"/>
      <c r="T219" s="388"/>
      <c r="U219" s="388"/>
      <c r="V219" s="386"/>
    </row>
    <row r="220" spans="1:22" ht="12.75">
      <c r="A220" s="35"/>
      <c r="B220" s="43" t="e">
        <f>IF(B219&gt;xW,V220,#N/A)</f>
        <v>#N/A</v>
      </c>
      <c r="C220" s="345"/>
      <c r="D220" s="345"/>
      <c r="E220" s="346"/>
      <c r="F220" s="346"/>
      <c r="G220" s="346"/>
      <c r="H220" s="346"/>
      <c r="I220" s="346"/>
      <c r="J220" s="346"/>
      <c r="K220" s="346"/>
      <c r="L220" s="346"/>
      <c r="M220" s="43" t="e">
        <f>M219</f>
        <v>#N/A</v>
      </c>
      <c r="O220" s="319"/>
      <c r="Q220" s="384" t="e">
        <f t="shared" ref="Q220" si="53">B219</f>
        <v>#N/A</v>
      </c>
      <c r="R220" s="385" t="e">
        <f>INDEX(x.ascendente,MATCH(B219,y.ascendente,1))</f>
        <v>#N/A</v>
      </c>
      <c r="S220" s="385" t="e">
        <f>INDEX(x.descendente,MATCH(B219,y.descendente,-1))</f>
        <v>#N/A</v>
      </c>
      <c r="T220" s="385" t="e">
        <f>INDEX(y.ascendente,MATCH(B219,y.ascendente,1))</f>
        <v>#N/A</v>
      </c>
      <c r="U220" s="385" t="e">
        <f>INDEX(y.descendente,MATCH(B219,y.descendente,-1))</f>
        <v>#N/A</v>
      </c>
      <c r="V220" s="386" t="e">
        <f t="shared" ref="V220" si="54">FORECAST(B219,R220:S220,T220:U220)</f>
        <v>#N/A</v>
      </c>
    </row>
    <row r="221" spans="1:22" ht="12.75">
      <c r="A221" s="35"/>
      <c r="B221" s="43" t="e">
        <f t="shared" ref="B221" si="55">B220</f>
        <v>#N/A</v>
      </c>
      <c r="C221" s="345"/>
      <c r="D221" s="345"/>
      <c r="E221" s="346"/>
      <c r="F221" s="346"/>
      <c r="G221" s="346"/>
      <c r="H221" s="346"/>
      <c r="I221" s="346"/>
      <c r="J221" s="346"/>
      <c r="K221" s="346"/>
      <c r="L221" s="346"/>
      <c r="M221" s="43" t="e">
        <f>B221</f>
        <v>#N/A</v>
      </c>
      <c r="O221" s="319"/>
      <c r="Q221" s="387"/>
      <c r="R221" s="388"/>
      <c r="S221" s="388"/>
      <c r="T221" s="388"/>
      <c r="U221" s="388"/>
      <c r="V221" s="386"/>
    </row>
    <row r="222" spans="1:22" ht="12.75">
      <c r="A222" s="35"/>
      <c r="B222" s="43" t="e">
        <f>IF(B221&gt;xW,V222,#N/A)</f>
        <v>#N/A</v>
      </c>
      <c r="C222" s="345"/>
      <c r="D222" s="345"/>
      <c r="E222" s="346"/>
      <c r="F222" s="346"/>
      <c r="G222" s="346"/>
      <c r="H222" s="346"/>
      <c r="I222" s="346"/>
      <c r="J222" s="346"/>
      <c r="K222" s="346"/>
      <c r="L222" s="346"/>
      <c r="M222" s="43" t="e">
        <f>M221</f>
        <v>#N/A</v>
      </c>
      <c r="O222" s="319"/>
      <c r="Q222" s="384" t="e">
        <f t="shared" ref="Q222" si="56">B221</f>
        <v>#N/A</v>
      </c>
      <c r="R222" s="385" t="e">
        <f>INDEX(x.ascendente,MATCH(B221,y.ascendente,1))</f>
        <v>#N/A</v>
      </c>
      <c r="S222" s="385" t="e">
        <f>INDEX(x.descendente,MATCH(B221,y.descendente,-1))</f>
        <v>#N/A</v>
      </c>
      <c r="T222" s="385" t="e">
        <f>INDEX(y.ascendente,MATCH(B221,y.ascendente,1))</f>
        <v>#N/A</v>
      </c>
      <c r="U222" s="385" t="e">
        <f>INDEX(y.descendente,MATCH(B221,y.descendente,-1))</f>
        <v>#N/A</v>
      </c>
      <c r="V222" s="386" t="e">
        <f t="shared" ref="V222" si="57">FORECAST(B221,R222:S222,T222:U222)</f>
        <v>#N/A</v>
      </c>
    </row>
    <row r="223" spans="1:22" ht="12.75">
      <c r="A223" s="35"/>
      <c r="B223" s="43" t="e">
        <f t="shared" ref="B223" si="58">B222</f>
        <v>#N/A</v>
      </c>
      <c r="C223" s="345"/>
      <c r="D223" s="345"/>
      <c r="E223" s="346"/>
      <c r="F223" s="346"/>
      <c r="G223" s="346"/>
      <c r="H223" s="346"/>
      <c r="I223" s="346"/>
      <c r="J223" s="346"/>
      <c r="K223" s="346"/>
      <c r="L223" s="346"/>
      <c r="M223" s="43" t="e">
        <f>B223</f>
        <v>#N/A</v>
      </c>
      <c r="O223" s="319"/>
      <c r="Q223" s="387"/>
      <c r="R223" s="388"/>
      <c r="S223" s="388"/>
      <c r="T223" s="388"/>
      <c r="U223" s="388"/>
      <c r="V223" s="386"/>
    </row>
    <row r="224" spans="1:22" ht="12.75">
      <c r="A224" s="35"/>
      <c r="B224" s="43" t="e">
        <f>IF(B223&gt;xW,V224,#N/A)</f>
        <v>#N/A</v>
      </c>
      <c r="C224" s="345"/>
      <c r="D224" s="345"/>
      <c r="E224" s="346"/>
      <c r="F224" s="346"/>
      <c r="G224" s="346"/>
      <c r="H224" s="346"/>
      <c r="I224" s="346"/>
      <c r="J224" s="346"/>
      <c r="K224" s="346"/>
      <c r="L224" s="346"/>
      <c r="M224" s="43" t="e">
        <f>M223</f>
        <v>#N/A</v>
      </c>
      <c r="O224" s="319"/>
      <c r="Q224" s="384" t="e">
        <f t="shared" ref="Q224" si="59">B223</f>
        <v>#N/A</v>
      </c>
      <c r="R224" s="385" t="e">
        <f>INDEX(x.ascendente,MATCH(B223,y.ascendente,1))</f>
        <v>#N/A</v>
      </c>
      <c r="S224" s="385" t="e">
        <f>INDEX(x.descendente,MATCH(B223,y.descendente,-1))</f>
        <v>#N/A</v>
      </c>
      <c r="T224" s="385" t="e">
        <f>INDEX(y.ascendente,MATCH(B223,y.ascendente,1))</f>
        <v>#N/A</v>
      </c>
      <c r="U224" s="385" t="e">
        <f>INDEX(y.descendente,MATCH(B223,y.descendente,-1))</f>
        <v>#N/A</v>
      </c>
      <c r="V224" s="386" t="e">
        <f t="shared" ref="V224" si="60">FORECAST(B223,R224:S224,T224:U224)</f>
        <v>#N/A</v>
      </c>
    </row>
    <row r="225" spans="1:22" ht="12.75">
      <c r="A225" s="35"/>
      <c r="B225" s="43" t="e">
        <f t="shared" ref="B225" si="61">B224</f>
        <v>#N/A</v>
      </c>
      <c r="C225" s="345"/>
      <c r="D225" s="345"/>
      <c r="E225" s="346"/>
      <c r="F225" s="346"/>
      <c r="G225" s="346"/>
      <c r="H225" s="346"/>
      <c r="I225" s="346"/>
      <c r="J225" s="346"/>
      <c r="K225" s="346"/>
      <c r="L225" s="346"/>
      <c r="M225" s="43" t="e">
        <f>B225</f>
        <v>#N/A</v>
      </c>
      <c r="O225" s="319"/>
      <c r="Q225" s="387"/>
      <c r="R225" s="388"/>
      <c r="S225" s="388"/>
      <c r="T225" s="388"/>
      <c r="U225" s="388"/>
      <c r="V225" s="386"/>
    </row>
    <row r="226" spans="1:22" ht="12.75">
      <c r="B226" s="43" t="e">
        <f>IF(B225&gt;xW,V226,#N/A)</f>
        <v>#N/A</v>
      </c>
      <c r="C226" s="345"/>
      <c r="D226" s="345"/>
      <c r="E226" s="346"/>
      <c r="F226" s="346"/>
      <c r="G226" s="346"/>
      <c r="H226" s="346"/>
      <c r="I226" s="346"/>
      <c r="J226" s="346"/>
      <c r="K226" s="346"/>
      <c r="L226" s="346"/>
      <c r="M226" s="43" t="e">
        <f>M225</f>
        <v>#N/A</v>
      </c>
      <c r="O226" s="319"/>
      <c r="Q226" s="384" t="e">
        <f t="shared" ref="Q226" si="62">B225</f>
        <v>#N/A</v>
      </c>
      <c r="R226" s="385" t="e">
        <f>INDEX(x.ascendente,MATCH(B225,y.ascendente,1))</f>
        <v>#N/A</v>
      </c>
      <c r="S226" s="385" t="e">
        <f>INDEX(x.descendente,MATCH(B225,y.descendente,-1))</f>
        <v>#N/A</v>
      </c>
      <c r="T226" s="385" t="e">
        <f>INDEX(y.ascendente,MATCH(B225,y.ascendente,1))</f>
        <v>#N/A</v>
      </c>
      <c r="U226" s="385" t="e">
        <f>INDEX(y.descendente,MATCH(B225,y.descendente,-1))</f>
        <v>#N/A</v>
      </c>
      <c r="V226" s="386" t="e">
        <f t="shared" ref="V226" si="63">FORECAST(B225,R226:S226,T226:U226)</f>
        <v>#N/A</v>
      </c>
    </row>
    <row r="227" spans="1:22" ht="12.75">
      <c r="B227" s="43" t="e">
        <f t="shared" ref="B227" si="64">B226</f>
        <v>#N/A</v>
      </c>
      <c r="C227" s="345"/>
      <c r="D227" s="345"/>
      <c r="E227" s="346"/>
      <c r="F227" s="346"/>
      <c r="G227" s="346"/>
      <c r="H227" s="346"/>
      <c r="I227" s="346"/>
      <c r="J227" s="346"/>
      <c r="K227" s="346"/>
      <c r="L227" s="346"/>
      <c r="M227" s="43" t="e">
        <f>B227</f>
        <v>#N/A</v>
      </c>
      <c r="O227" s="319"/>
      <c r="Q227" s="387"/>
      <c r="R227" s="388"/>
      <c r="S227" s="388"/>
      <c r="T227" s="388"/>
      <c r="U227" s="388"/>
      <c r="V227" s="386"/>
    </row>
    <row r="228" spans="1:22" ht="12.75">
      <c r="B228" s="43" t="e">
        <f>IF(B227&gt;xW,V228,#N/A)</f>
        <v>#N/A</v>
      </c>
      <c r="C228" s="345"/>
      <c r="D228" s="345"/>
      <c r="E228" s="346"/>
      <c r="F228" s="346"/>
      <c r="G228" s="346"/>
      <c r="H228" s="346"/>
      <c r="I228" s="346"/>
      <c r="J228" s="346"/>
      <c r="K228" s="346"/>
      <c r="L228" s="346"/>
      <c r="M228" s="43" t="e">
        <f>M227</f>
        <v>#N/A</v>
      </c>
      <c r="O228" s="319"/>
      <c r="Q228" s="384" t="e">
        <f t="shared" ref="Q228" si="65">B227</f>
        <v>#N/A</v>
      </c>
      <c r="R228" s="385" t="e">
        <f>INDEX(x.ascendente,MATCH(B227,y.ascendente,1))</f>
        <v>#N/A</v>
      </c>
      <c r="S228" s="385" t="e">
        <f>INDEX(x.descendente,MATCH(B227,y.descendente,-1))</f>
        <v>#N/A</v>
      </c>
      <c r="T228" s="385" t="e">
        <f>INDEX(y.ascendente,MATCH(B227,y.ascendente,1))</f>
        <v>#N/A</v>
      </c>
      <c r="U228" s="385" t="e">
        <f>INDEX(y.descendente,MATCH(B227,y.descendente,-1))</f>
        <v>#N/A</v>
      </c>
      <c r="V228" s="386" t="e">
        <f t="shared" ref="V228" si="66">FORECAST(B227,R228:S228,T228:U228)</f>
        <v>#N/A</v>
      </c>
    </row>
    <row r="229" spans="1:22" ht="12.75">
      <c r="B229" s="43" t="e">
        <f t="shared" ref="B229" si="67">B228</f>
        <v>#N/A</v>
      </c>
      <c r="C229" s="345"/>
      <c r="D229" s="345"/>
      <c r="E229" s="346"/>
      <c r="F229" s="346"/>
      <c r="G229" s="346"/>
      <c r="H229" s="346"/>
      <c r="I229" s="346"/>
      <c r="J229" s="346"/>
      <c r="K229" s="346"/>
      <c r="L229" s="346"/>
      <c r="M229" s="43" t="e">
        <f>B229</f>
        <v>#N/A</v>
      </c>
      <c r="O229" s="319"/>
      <c r="Q229" s="387"/>
      <c r="R229" s="388"/>
      <c r="S229" s="388"/>
      <c r="T229" s="388"/>
      <c r="U229" s="388"/>
      <c r="V229" s="386"/>
    </row>
    <row r="230" spans="1:22" ht="12.75">
      <c r="B230" s="43" t="e">
        <f>IF(B229&gt;xW,V230,#N/A)</f>
        <v>#N/A</v>
      </c>
      <c r="C230" s="345"/>
      <c r="D230" s="345"/>
      <c r="E230" s="346"/>
      <c r="F230" s="346"/>
      <c r="G230" s="346"/>
      <c r="H230" s="346"/>
      <c r="I230" s="346"/>
      <c r="J230" s="346"/>
      <c r="K230" s="346"/>
      <c r="L230" s="346"/>
      <c r="M230" s="43" t="e">
        <f>M229</f>
        <v>#N/A</v>
      </c>
      <c r="O230" s="319"/>
      <c r="Q230" s="384" t="e">
        <f t="shared" ref="Q230" si="68">B229</f>
        <v>#N/A</v>
      </c>
      <c r="R230" s="385" t="e">
        <f>INDEX(x.ascendente,MATCH(B229,y.ascendente,1))</f>
        <v>#N/A</v>
      </c>
      <c r="S230" s="385" t="e">
        <f>INDEX(x.descendente,MATCH(B229,y.descendente,-1))</f>
        <v>#N/A</v>
      </c>
      <c r="T230" s="385" t="e">
        <f>INDEX(y.ascendente,MATCH(B229,y.ascendente,1))</f>
        <v>#N/A</v>
      </c>
      <c r="U230" s="385" t="e">
        <f>INDEX(y.descendente,MATCH(B229,y.descendente,-1))</f>
        <v>#N/A</v>
      </c>
      <c r="V230" s="386" t="e">
        <f t="shared" ref="V230" si="69">FORECAST(B229,R230:S230,T230:U230)</f>
        <v>#N/A</v>
      </c>
    </row>
    <row r="231" spans="1:22" ht="12.75">
      <c r="B231" s="43" t="e">
        <f t="shared" ref="B231" si="70">B230</f>
        <v>#N/A</v>
      </c>
      <c r="C231" s="345"/>
      <c r="D231" s="345"/>
      <c r="E231" s="346"/>
      <c r="F231" s="346"/>
      <c r="G231" s="346"/>
      <c r="H231" s="346"/>
      <c r="I231" s="346"/>
      <c r="J231" s="346"/>
      <c r="K231" s="346"/>
      <c r="L231" s="346"/>
      <c r="M231" s="43" t="e">
        <f>B231</f>
        <v>#N/A</v>
      </c>
      <c r="O231" s="319"/>
      <c r="Q231" s="387"/>
      <c r="R231" s="388"/>
      <c r="S231" s="388"/>
      <c r="T231" s="388"/>
      <c r="U231" s="388"/>
      <c r="V231" s="386"/>
    </row>
    <row r="232" spans="1:22" ht="12.75">
      <c r="B232" s="43" t="e">
        <f>IF(B231&gt;xW,V232,#N/A)</f>
        <v>#N/A</v>
      </c>
      <c r="C232" s="345"/>
      <c r="D232" s="345"/>
      <c r="E232" s="346"/>
      <c r="F232" s="346"/>
      <c r="G232" s="346"/>
      <c r="H232" s="346"/>
      <c r="I232" s="346"/>
      <c r="J232" s="346"/>
      <c r="K232" s="346"/>
      <c r="L232" s="346"/>
      <c r="M232" s="43" t="e">
        <f>M231</f>
        <v>#N/A</v>
      </c>
      <c r="O232" s="319"/>
      <c r="Q232" s="384" t="e">
        <f t="shared" ref="Q232" si="71">B231</f>
        <v>#N/A</v>
      </c>
      <c r="R232" s="385" t="e">
        <f>INDEX(x.ascendente,MATCH(B231,y.ascendente,1))</f>
        <v>#N/A</v>
      </c>
      <c r="S232" s="385" t="e">
        <f>INDEX(x.descendente,MATCH(B231,y.descendente,-1))</f>
        <v>#N/A</v>
      </c>
      <c r="T232" s="385" t="e">
        <f>INDEX(y.ascendente,MATCH(B231,y.ascendente,1))</f>
        <v>#N/A</v>
      </c>
      <c r="U232" s="385" t="e">
        <f>INDEX(y.descendente,MATCH(B231,y.descendente,-1))</f>
        <v>#N/A</v>
      </c>
      <c r="V232" s="386" t="e">
        <f t="shared" ref="V232" si="72">FORECAST(B231,R232:S232,T232:U232)</f>
        <v>#N/A</v>
      </c>
    </row>
    <row r="233" spans="1:22" ht="12.75">
      <c r="B233" s="43" t="e">
        <f t="shared" ref="B233" si="73">B232</f>
        <v>#N/A</v>
      </c>
      <c r="C233" s="345"/>
      <c r="D233" s="345"/>
      <c r="E233" s="346"/>
      <c r="F233" s="346"/>
      <c r="G233" s="346"/>
      <c r="H233" s="346"/>
      <c r="I233" s="346"/>
      <c r="J233" s="346"/>
      <c r="K233" s="346"/>
      <c r="L233" s="346"/>
      <c r="M233" s="43" t="e">
        <f>B233</f>
        <v>#N/A</v>
      </c>
      <c r="O233" s="319"/>
      <c r="Q233" s="387"/>
      <c r="R233" s="388"/>
      <c r="S233" s="388"/>
      <c r="T233" s="388"/>
      <c r="U233" s="388"/>
      <c r="V233" s="386"/>
    </row>
    <row r="234" spans="1:22" ht="12.75">
      <c r="B234" s="43" t="e">
        <f>IF(B233&gt;xW,V234,#N/A)</f>
        <v>#N/A</v>
      </c>
      <c r="C234" s="345"/>
      <c r="D234" s="345"/>
      <c r="E234" s="346"/>
      <c r="F234" s="346"/>
      <c r="G234" s="346"/>
      <c r="H234" s="346"/>
      <c r="I234" s="346"/>
      <c r="J234" s="346"/>
      <c r="K234" s="346"/>
      <c r="L234" s="346"/>
      <c r="M234" s="43" t="e">
        <f>M233</f>
        <v>#N/A</v>
      </c>
      <c r="O234" s="319"/>
      <c r="Q234" s="384" t="e">
        <f t="shared" ref="Q234" si="74">B233</f>
        <v>#N/A</v>
      </c>
      <c r="R234" s="385" t="e">
        <f>INDEX(x.ascendente,MATCH(B233,y.ascendente,1))</f>
        <v>#N/A</v>
      </c>
      <c r="S234" s="385" t="e">
        <f>INDEX(x.descendente,MATCH(B233,y.descendente,-1))</f>
        <v>#N/A</v>
      </c>
      <c r="T234" s="385" t="e">
        <f>INDEX(y.ascendente,MATCH(B233,y.ascendente,1))</f>
        <v>#N/A</v>
      </c>
      <c r="U234" s="385" t="e">
        <f>INDEX(y.descendente,MATCH(B233,y.descendente,-1))</f>
        <v>#N/A</v>
      </c>
      <c r="V234" s="386" t="e">
        <f t="shared" ref="V234" si="75">FORECAST(B233,R234:S234,T234:U234)</f>
        <v>#N/A</v>
      </c>
    </row>
    <row r="235" spans="1:22" ht="12.75">
      <c r="B235" s="43" t="e">
        <f t="shared" ref="B235" si="76">B234</f>
        <v>#N/A</v>
      </c>
      <c r="C235" s="345"/>
      <c r="D235" s="345"/>
      <c r="E235" s="346"/>
      <c r="F235" s="346"/>
      <c r="G235" s="346"/>
      <c r="H235" s="346"/>
      <c r="I235" s="346"/>
      <c r="J235" s="346"/>
      <c r="K235" s="346"/>
      <c r="L235" s="346"/>
      <c r="M235" s="43" t="e">
        <f>B235</f>
        <v>#N/A</v>
      </c>
      <c r="O235" s="319"/>
      <c r="Q235" s="387"/>
      <c r="R235" s="388"/>
      <c r="S235" s="388"/>
      <c r="T235" s="388"/>
      <c r="U235" s="388"/>
      <c r="V235" s="386"/>
    </row>
    <row r="236" spans="1:22" ht="12.75">
      <c r="B236" s="43" t="e">
        <f>IF(B235&gt;xW,V236,#N/A)</f>
        <v>#N/A</v>
      </c>
      <c r="C236" s="345"/>
      <c r="D236" s="345"/>
      <c r="E236" s="346"/>
      <c r="F236" s="346"/>
      <c r="G236" s="346"/>
      <c r="H236" s="346"/>
      <c r="I236" s="346"/>
      <c r="J236" s="346"/>
      <c r="K236" s="346"/>
      <c r="L236" s="346"/>
      <c r="M236" s="43" t="e">
        <f>M235</f>
        <v>#N/A</v>
      </c>
      <c r="O236" s="319"/>
      <c r="Q236" s="384" t="e">
        <f t="shared" ref="Q236" si="77">B235</f>
        <v>#N/A</v>
      </c>
      <c r="R236" s="385" t="e">
        <f>INDEX(x.ascendente,MATCH(B235,y.ascendente,1))</f>
        <v>#N/A</v>
      </c>
      <c r="S236" s="385" t="e">
        <f>INDEX(x.descendente,MATCH(B235,y.descendente,-1))</f>
        <v>#N/A</v>
      </c>
      <c r="T236" s="385" t="e">
        <f>INDEX(y.ascendente,MATCH(B235,y.ascendente,1))</f>
        <v>#N/A</v>
      </c>
      <c r="U236" s="385" t="e">
        <f>INDEX(y.descendente,MATCH(B235,y.descendente,-1))</f>
        <v>#N/A</v>
      </c>
      <c r="V236" s="386" t="e">
        <f t="shared" ref="V236" si="78">FORECAST(B235,R236:S236,T236:U236)</f>
        <v>#N/A</v>
      </c>
    </row>
    <row r="237" spans="1:22" ht="12.75">
      <c r="B237" s="43" t="e">
        <f t="shared" ref="B237" si="79">B236</f>
        <v>#N/A</v>
      </c>
      <c r="C237" s="345"/>
      <c r="D237" s="345"/>
      <c r="E237" s="346"/>
      <c r="F237" s="346"/>
      <c r="G237" s="346"/>
      <c r="H237" s="346"/>
      <c r="I237" s="346"/>
      <c r="J237" s="346"/>
      <c r="K237" s="346"/>
      <c r="L237" s="346"/>
      <c r="M237" s="43" t="e">
        <f>B237</f>
        <v>#N/A</v>
      </c>
      <c r="O237" s="319"/>
      <c r="Q237" s="387"/>
      <c r="R237" s="388"/>
      <c r="S237" s="388"/>
      <c r="T237" s="388"/>
      <c r="U237" s="388"/>
      <c r="V237" s="386"/>
    </row>
    <row r="238" spans="1:22" ht="12.75">
      <c r="B238" s="43" t="e">
        <f>IF(B237&gt;xW,V238,#N/A)</f>
        <v>#N/A</v>
      </c>
      <c r="C238" s="345"/>
      <c r="D238" s="345"/>
      <c r="E238" s="346"/>
      <c r="F238" s="346"/>
      <c r="G238" s="346"/>
      <c r="H238" s="346"/>
      <c r="I238" s="346"/>
      <c r="J238" s="346"/>
      <c r="K238" s="346"/>
      <c r="L238" s="346"/>
      <c r="M238" s="43" t="e">
        <f>M237</f>
        <v>#N/A</v>
      </c>
      <c r="O238" s="319"/>
      <c r="Q238" s="384" t="e">
        <f t="shared" ref="Q238" si="80">B237</f>
        <v>#N/A</v>
      </c>
      <c r="R238" s="385" t="e">
        <f>INDEX(x.ascendente,MATCH(B237,y.ascendente,1))</f>
        <v>#N/A</v>
      </c>
      <c r="S238" s="385" t="e">
        <f>INDEX(x.descendente,MATCH(B237,y.descendente,-1))</f>
        <v>#N/A</v>
      </c>
      <c r="T238" s="385" t="e">
        <f>INDEX(y.ascendente,MATCH(B237,y.ascendente,1))</f>
        <v>#N/A</v>
      </c>
      <c r="U238" s="385" t="e">
        <f>INDEX(y.descendente,MATCH(B237,y.descendente,-1))</f>
        <v>#N/A</v>
      </c>
      <c r="V238" s="386" t="e">
        <f t="shared" ref="V238" si="81">FORECAST(B237,R238:S238,T238:U238)</f>
        <v>#N/A</v>
      </c>
    </row>
    <row r="239" spans="1:22" ht="12.75">
      <c r="B239" s="43" t="e">
        <f t="shared" ref="B239" si="82">B238</f>
        <v>#N/A</v>
      </c>
      <c r="C239" s="345"/>
      <c r="D239" s="345"/>
      <c r="E239" s="346"/>
      <c r="F239" s="346"/>
      <c r="G239" s="346"/>
      <c r="H239" s="346"/>
      <c r="I239" s="346"/>
      <c r="J239" s="346"/>
      <c r="K239" s="346"/>
      <c r="L239" s="346"/>
      <c r="M239" s="43" t="e">
        <f>B239</f>
        <v>#N/A</v>
      </c>
      <c r="O239" s="319"/>
      <c r="Q239" s="387"/>
      <c r="R239" s="388"/>
      <c r="S239" s="388"/>
      <c r="T239" s="388"/>
      <c r="U239" s="388"/>
      <c r="V239" s="386"/>
    </row>
    <row r="240" spans="1:22" ht="12.75">
      <c r="B240" s="43" t="e">
        <f>IF(B239&gt;xW,V240,#N/A)</f>
        <v>#N/A</v>
      </c>
      <c r="C240" s="345"/>
      <c r="D240" s="345"/>
      <c r="E240" s="346"/>
      <c r="F240" s="346"/>
      <c r="G240" s="346"/>
      <c r="H240" s="346"/>
      <c r="I240" s="346"/>
      <c r="J240" s="346"/>
      <c r="K240" s="346"/>
      <c r="L240" s="346"/>
      <c r="M240" s="43" t="e">
        <f>M239</f>
        <v>#N/A</v>
      </c>
      <c r="O240" s="319"/>
      <c r="Q240" s="384" t="e">
        <f t="shared" ref="Q240" si="83">B239</f>
        <v>#N/A</v>
      </c>
      <c r="R240" s="385" t="e">
        <f>INDEX(x.ascendente,MATCH(B239,y.ascendente,1))</f>
        <v>#N/A</v>
      </c>
      <c r="S240" s="385" t="e">
        <f>INDEX(x.descendente,MATCH(B239,y.descendente,-1))</f>
        <v>#N/A</v>
      </c>
      <c r="T240" s="385" t="e">
        <f>INDEX(y.ascendente,MATCH(B239,y.ascendente,1))</f>
        <v>#N/A</v>
      </c>
      <c r="U240" s="385" t="e">
        <f>INDEX(y.descendente,MATCH(B239,y.descendente,-1))</f>
        <v>#N/A</v>
      </c>
      <c r="V240" s="386" t="e">
        <f t="shared" ref="V240" si="84">FORECAST(B239,R240:S240,T240:U240)</f>
        <v>#N/A</v>
      </c>
    </row>
    <row r="241" spans="2:22" ht="12.75">
      <c r="B241" s="43" t="e">
        <f t="shared" ref="B241" si="85">B240</f>
        <v>#N/A</v>
      </c>
      <c r="C241" s="345"/>
      <c r="D241" s="345"/>
      <c r="E241" s="346"/>
      <c r="F241" s="346"/>
      <c r="G241" s="346"/>
      <c r="H241" s="346"/>
      <c r="I241" s="346"/>
      <c r="J241" s="346"/>
      <c r="K241" s="346"/>
      <c r="L241" s="346"/>
      <c r="M241" s="43" t="e">
        <f>B241</f>
        <v>#N/A</v>
      </c>
      <c r="O241" s="319"/>
      <c r="Q241" s="387"/>
      <c r="R241" s="388"/>
      <c r="S241" s="388"/>
      <c r="T241" s="388"/>
      <c r="U241" s="388"/>
      <c r="V241" s="386"/>
    </row>
    <row r="242" spans="2:22" ht="12.75">
      <c r="B242" s="43" t="e">
        <f>IF(B241&gt;xW,V242,#N/A)</f>
        <v>#N/A</v>
      </c>
      <c r="C242" s="345"/>
      <c r="D242" s="345"/>
      <c r="E242" s="346"/>
      <c r="F242" s="346"/>
      <c r="G242" s="346"/>
      <c r="H242" s="346"/>
      <c r="I242" s="346"/>
      <c r="J242" s="346"/>
      <c r="K242" s="346"/>
      <c r="L242" s="346"/>
      <c r="M242" s="43" t="e">
        <f>M241</f>
        <v>#N/A</v>
      </c>
      <c r="O242" s="319"/>
      <c r="Q242" s="384" t="e">
        <f t="shared" ref="Q242" si="86">B241</f>
        <v>#N/A</v>
      </c>
      <c r="R242" s="385" t="e">
        <f>INDEX(x.ascendente,MATCH(B241,y.ascendente,1))</f>
        <v>#N/A</v>
      </c>
      <c r="S242" s="385" t="e">
        <f>INDEX(x.descendente,MATCH(B241,y.descendente,-1))</f>
        <v>#N/A</v>
      </c>
      <c r="T242" s="385" t="e">
        <f>INDEX(y.ascendente,MATCH(B241,y.ascendente,1))</f>
        <v>#N/A</v>
      </c>
      <c r="U242" s="385" t="e">
        <f>INDEX(y.descendente,MATCH(B241,y.descendente,-1))</f>
        <v>#N/A</v>
      </c>
      <c r="V242" s="386" t="e">
        <f t="shared" ref="V242" si="87">FORECAST(B241,R242:S242,T242:U242)</f>
        <v>#N/A</v>
      </c>
    </row>
    <row r="243" spans="2:22" ht="12.75">
      <c r="B243" s="43" t="e">
        <f t="shared" ref="B243" si="88">B242</f>
        <v>#N/A</v>
      </c>
      <c r="C243" s="345"/>
      <c r="D243" s="345"/>
      <c r="E243" s="346"/>
      <c r="F243" s="346"/>
      <c r="G243" s="346"/>
      <c r="H243" s="346"/>
      <c r="I243" s="346"/>
      <c r="J243" s="346"/>
      <c r="K243" s="346"/>
      <c r="L243" s="346"/>
      <c r="M243" s="43" t="e">
        <f>B243</f>
        <v>#N/A</v>
      </c>
      <c r="O243" s="319"/>
      <c r="Q243" s="387"/>
      <c r="R243" s="388"/>
      <c r="S243" s="388"/>
      <c r="T243" s="388"/>
      <c r="U243" s="388"/>
      <c r="V243" s="386"/>
    </row>
    <row r="244" spans="2:22" ht="12.75">
      <c r="B244" s="43" t="e">
        <f>IF(B243&gt;xW,V244,#N/A)</f>
        <v>#N/A</v>
      </c>
      <c r="C244" s="345"/>
      <c r="D244" s="345"/>
      <c r="E244" s="346"/>
      <c r="F244" s="346"/>
      <c r="G244" s="346"/>
      <c r="H244" s="346"/>
      <c r="I244" s="346"/>
      <c r="J244" s="346"/>
      <c r="K244" s="346"/>
      <c r="L244" s="346"/>
      <c r="M244" s="43" t="e">
        <f>M243</f>
        <v>#N/A</v>
      </c>
      <c r="O244" s="319"/>
      <c r="Q244" s="384" t="e">
        <f t="shared" ref="Q244" si="89">B243</f>
        <v>#N/A</v>
      </c>
      <c r="R244" s="385" t="e">
        <f>INDEX(x.ascendente,MATCH(B243,y.ascendente,1))</f>
        <v>#N/A</v>
      </c>
      <c r="S244" s="385" t="e">
        <f>INDEX(x.descendente,MATCH(B243,y.descendente,-1))</f>
        <v>#N/A</v>
      </c>
      <c r="T244" s="385" t="e">
        <f>INDEX(y.ascendente,MATCH(B243,y.ascendente,1))</f>
        <v>#N/A</v>
      </c>
      <c r="U244" s="385" t="e">
        <f>INDEX(y.descendente,MATCH(B243,y.descendente,-1))</f>
        <v>#N/A</v>
      </c>
      <c r="V244" s="386" t="e">
        <f t="shared" ref="V244" si="90">FORECAST(B243,R244:S244,T244:U244)</f>
        <v>#N/A</v>
      </c>
    </row>
    <row r="245" spans="2:22" ht="12.75">
      <c r="B245" s="43" t="e">
        <f t="shared" ref="B245" si="91">B244</f>
        <v>#N/A</v>
      </c>
      <c r="C245" s="345"/>
      <c r="D245" s="345"/>
      <c r="E245" s="346"/>
      <c r="F245" s="346"/>
      <c r="G245" s="346"/>
      <c r="H245" s="346"/>
      <c r="I245" s="346"/>
      <c r="J245" s="346"/>
      <c r="K245" s="346"/>
      <c r="L245" s="346"/>
      <c r="M245" s="43" t="e">
        <f>B245</f>
        <v>#N/A</v>
      </c>
      <c r="O245" s="319"/>
      <c r="Q245" s="387"/>
      <c r="R245" s="388"/>
      <c r="S245" s="388"/>
      <c r="T245" s="388"/>
      <c r="U245" s="388"/>
      <c r="V245" s="386"/>
    </row>
    <row r="246" spans="2:22" ht="12.75">
      <c r="B246" s="43" t="e">
        <f>IF(B245&gt;xW,V246,#N/A)</f>
        <v>#N/A</v>
      </c>
      <c r="C246" s="345"/>
      <c r="D246" s="345"/>
      <c r="E246" s="346"/>
      <c r="F246" s="346"/>
      <c r="G246" s="346"/>
      <c r="H246" s="346"/>
      <c r="I246" s="346"/>
      <c r="J246" s="346"/>
      <c r="K246" s="346"/>
      <c r="L246" s="346"/>
      <c r="M246" s="43" t="e">
        <f>M245</f>
        <v>#N/A</v>
      </c>
      <c r="O246" s="319"/>
      <c r="Q246" s="384" t="e">
        <f t="shared" ref="Q246" si="92">B245</f>
        <v>#N/A</v>
      </c>
      <c r="R246" s="385" t="e">
        <f>INDEX(x.ascendente,MATCH(B245,y.ascendente,1))</f>
        <v>#N/A</v>
      </c>
      <c r="S246" s="385" t="e">
        <f>INDEX(x.descendente,MATCH(B245,y.descendente,-1))</f>
        <v>#N/A</v>
      </c>
      <c r="T246" s="385" t="e">
        <f>INDEX(y.ascendente,MATCH(B245,y.ascendente,1))</f>
        <v>#N/A</v>
      </c>
      <c r="U246" s="385" t="e">
        <f>INDEX(y.descendente,MATCH(B245,y.descendente,-1))</f>
        <v>#N/A</v>
      </c>
      <c r="V246" s="386" t="e">
        <f t="shared" ref="V246" si="93">FORECAST(B245,R246:S246,T246:U246)</f>
        <v>#N/A</v>
      </c>
    </row>
    <row r="247" spans="2:22" ht="12.75">
      <c r="B247" s="43" t="e">
        <f t="shared" ref="B247" si="94">B246</f>
        <v>#N/A</v>
      </c>
      <c r="C247" s="345"/>
      <c r="D247" s="345"/>
      <c r="E247" s="346"/>
      <c r="F247" s="346"/>
      <c r="G247" s="346"/>
      <c r="H247" s="346"/>
      <c r="I247" s="346"/>
      <c r="J247" s="346"/>
      <c r="K247" s="346"/>
      <c r="L247" s="346"/>
      <c r="M247" s="43" t="e">
        <f>B247</f>
        <v>#N/A</v>
      </c>
      <c r="O247" s="319"/>
      <c r="Q247" s="387"/>
      <c r="R247" s="388"/>
      <c r="S247" s="388"/>
      <c r="T247" s="388"/>
      <c r="U247" s="388"/>
      <c r="V247" s="386"/>
    </row>
    <row r="248" spans="2:22" ht="12.75">
      <c r="B248" s="43" t="e">
        <f>IF(B247&gt;xW,V248,#N/A)</f>
        <v>#N/A</v>
      </c>
      <c r="C248" s="345"/>
      <c r="D248" s="345"/>
      <c r="E248" s="346"/>
      <c r="F248" s="346"/>
      <c r="G248" s="346"/>
      <c r="H248" s="346"/>
      <c r="I248" s="346"/>
      <c r="J248" s="346"/>
      <c r="K248" s="346"/>
      <c r="L248" s="346"/>
      <c r="M248" s="43" t="e">
        <f>M247</f>
        <v>#N/A</v>
      </c>
      <c r="O248" s="319"/>
      <c r="Q248" s="384" t="e">
        <f t="shared" ref="Q248" si="95">B247</f>
        <v>#N/A</v>
      </c>
      <c r="R248" s="385" t="e">
        <f>INDEX(x.ascendente,MATCH(B247,y.ascendente,1))</f>
        <v>#N/A</v>
      </c>
      <c r="S248" s="385" t="e">
        <f>INDEX(x.descendente,MATCH(B247,y.descendente,-1))</f>
        <v>#N/A</v>
      </c>
      <c r="T248" s="385" t="e">
        <f>INDEX(y.ascendente,MATCH(B247,y.ascendente,1))</f>
        <v>#N/A</v>
      </c>
      <c r="U248" s="385" t="e">
        <f>INDEX(y.descendente,MATCH(B247,y.descendente,-1))</f>
        <v>#N/A</v>
      </c>
      <c r="V248" s="386" t="e">
        <f t="shared" ref="V248" si="96">FORECAST(B247,R248:S248,T248:U248)</f>
        <v>#N/A</v>
      </c>
    </row>
    <row r="249" spans="2:22" ht="12.75">
      <c r="B249" s="43" t="e">
        <f t="shared" ref="B249" si="97">B248</f>
        <v>#N/A</v>
      </c>
      <c r="C249" s="345"/>
      <c r="D249" s="345"/>
      <c r="E249" s="346"/>
      <c r="F249" s="346"/>
      <c r="G249" s="346"/>
      <c r="H249" s="346"/>
      <c r="I249" s="346"/>
      <c r="J249" s="346"/>
      <c r="K249" s="346"/>
      <c r="L249" s="346"/>
      <c r="M249" s="43" t="e">
        <f>B249</f>
        <v>#N/A</v>
      </c>
      <c r="O249" s="319"/>
      <c r="Q249" s="387"/>
      <c r="R249" s="388"/>
      <c r="S249" s="388"/>
      <c r="T249" s="388"/>
      <c r="U249" s="388"/>
      <c r="V249" s="386"/>
    </row>
    <row r="250" spans="2:22" ht="12.75">
      <c r="B250" s="43" t="e">
        <f>IF(B249&gt;xW,V250,#N/A)</f>
        <v>#N/A</v>
      </c>
      <c r="C250" s="345"/>
      <c r="D250" s="345"/>
      <c r="E250" s="346"/>
      <c r="F250" s="346"/>
      <c r="G250" s="346"/>
      <c r="H250" s="346"/>
      <c r="I250" s="346"/>
      <c r="J250" s="346"/>
      <c r="K250" s="346"/>
      <c r="L250" s="346"/>
      <c r="M250" s="43" t="e">
        <f>M249</f>
        <v>#N/A</v>
      </c>
      <c r="O250" s="319"/>
      <c r="Q250" s="384" t="e">
        <f t="shared" ref="Q250" si="98">B249</f>
        <v>#N/A</v>
      </c>
      <c r="R250" s="385" t="e">
        <f>INDEX(x.ascendente,MATCH(B249,y.ascendente,1))</f>
        <v>#N/A</v>
      </c>
      <c r="S250" s="385" t="e">
        <f>INDEX(x.descendente,MATCH(B249,y.descendente,-1))</f>
        <v>#N/A</v>
      </c>
      <c r="T250" s="385" t="e">
        <f>INDEX(y.ascendente,MATCH(B249,y.ascendente,1))</f>
        <v>#N/A</v>
      </c>
      <c r="U250" s="385" t="e">
        <f>INDEX(y.descendente,MATCH(B249,y.descendente,-1))</f>
        <v>#N/A</v>
      </c>
      <c r="V250" s="386" t="e">
        <f t="shared" ref="V250" si="99">FORECAST(B249,R250:S250,T250:U250)</f>
        <v>#N/A</v>
      </c>
    </row>
    <row r="251" spans="2:22" ht="12.75">
      <c r="B251" s="43" t="e">
        <f t="shared" ref="B251" si="100">B250</f>
        <v>#N/A</v>
      </c>
      <c r="C251" s="345"/>
      <c r="D251" s="345"/>
      <c r="E251" s="346"/>
      <c r="F251" s="346"/>
      <c r="G251" s="346"/>
      <c r="H251" s="346"/>
      <c r="I251" s="346"/>
      <c r="J251" s="346"/>
      <c r="K251" s="346"/>
      <c r="L251" s="346"/>
      <c r="M251" s="43" t="e">
        <f>B251</f>
        <v>#N/A</v>
      </c>
      <c r="O251" s="319"/>
      <c r="Q251" s="387"/>
      <c r="R251" s="388"/>
      <c r="S251" s="388"/>
      <c r="T251" s="388"/>
      <c r="U251" s="388"/>
      <c r="V251" s="386"/>
    </row>
    <row r="252" spans="2:22" ht="12.75">
      <c r="B252" s="43" t="e">
        <f>IF(B251&gt;xW,V252,#N/A)</f>
        <v>#N/A</v>
      </c>
      <c r="C252" s="345"/>
      <c r="D252" s="345"/>
      <c r="E252" s="346"/>
      <c r="F252" s="346"/>
      <c r="G252" s="346"/>
      <c r="H252" s="346"/>
      <c r="I252" s="346"/>
      <c r="J252" s="346"/>
      <c r="K252" s="346"/>
      <c r="L252" s="346"/>
      <c r="M252" s="43" t="e">
        <f>M251</f>
        <v>#N/A</v>
      </c>
      <c r="O252" s="319"/>
      <c r="Q252" s="384" t="e">
        <f t="shared" ref="Q252" si="101">B251</f>
        <v>#N/A</v>
      </c>
      <c r="R252" s="385" t="e">
        <f>INDEX(x.ascendente,MATCH(B251,y.ascendente,1))</f>
        <v>#N/A</v>
      </c>
      <c r="S252" s="385" t="e">
        <f>INDEX(x.descendente,MATCH(B251,y.descendente,-1))</f>
        <v>#N/A</v>
      </c>
      <c r="T252" s="385" t="e">
        <f>INDEX(y.ascendente,MATCH(B251,y.ascendente,1))</f>
        <v>#N/A</v>
      </c>
      <c r="U252" s="385" t="e">
        <f>INDEX(y.descendente,MATCH(B251,y.descendente,-1))</f>
        <v>#N/A</v>
      </c>
      <c r="V252" s="386" t="e">
        <f t="shared" ref="V252" si="102">FORECAST(B251,R252:S252,T252:U252)</f>
        <v>#N/A</v>
      </c>
    </row>
    <row r="253" spans="2:22" ht="12.75">
      <c r="B253" s="43" t="e">
        <f t="shared" ref="B253" si="103">B252</f>
        <v>#N/A</v>
      </c>
      <c r="C253" s="345"/>
      <c r="D253" s="345"/>
      <c r="E253" s="346"/>
      <c r="F253" s="346"/>
      <c r="G253" s="346"/>
      <c r="H253" s="346"/>
      <c r="I253" s="346"/>
      <c r="J253" s="346"/>
      <c r="K253" s="346"/>
      <c r="L253" s="346"/>
      <c r="M253" s="43" t="e">
        <f>B253</f>
        <v>#N/A</v>
      </c>
      <c r="O253" s="319"/>
      <c r="Q253" s="387"/>
      <c r="R253" s="388"/>
      <c r="S253" s="388"/>
      <c r="T253" s="388"/>
      <c r="U253" s="388"/>
      <c r="V253" s="386"/>
    </row>
    <row r="254" spans="2:22" ht="12.75">
      <c r="B254" s="43" t="e">
        <f>IF(B253&gt;xW,V254,#N/A)</f>
        <v>#N/A</v>
      </c>
      <c r="C254" s="345"/>
      <c r="D254" s="345"/>
      <c r="E254" s="346"/>
      <c r="F254" s="346"/>
      <c r="G254" s="346"/>
      <c r="H254" s="346"/>
      <c r="I254" s="346"/>
      <c r="J254" s="346"/>
      <c r="K254" s="346"/>
      <c r="L254" s="346"/>
      <c r="M254" s="43" t="e">
        <f>M253</f>
        <v>#N/A</v>
      </c>
      <c r="O254" s="319"/>
      <c r="Q254" s="384" t="e">
        <f t="shared" ref="Q254" si="104">B253</f>
        <v>#N/A</v>
      </c>
      <c r="R254" s="385" t="e">
        <f>INDEX(x.ascendente,MATCH(B253,y.ascendente,1))</f>
        <v>#N/A</v>
      </c>
      <c r="S254" s="385" t="e">
        <f>INDEX(x.descendente,MATCH(B253,y.descendente,-1))</f>
        <v>#N/A</v>
      </c>
      <c r="T254" s="385" t="e">
        <f>INDEX(y.ascendente,MATCH(B253,y.ascendente,1))</f>
        <v>#N/A</v>
      </c>
      <c r="U254" s="385" t="e">
        <f>INDEX(y.descendente,MATCH(B253,y.descendente,-1))</f>
        <v>#N/A</v>
      </c>
      <c r="V254" s="386" t="e">
        <f t="shared" ref="V254" si="105">FORECAST(B253,R254:S254,T254:U254)</f>
        <v>#N/A</v>
      </c>
    </row>
    <row r="255" spans="2:22" ht="12.75">
      <c r="B255" s="43" t="e">
        <f t="shared" ref="B255" si="106">B254</f>
        <v>#N/A</v>
      </c>
      <c r="C255" s="345"/>
      <c r="D255" s="345"/>
      <c r="E255" s="346"/>
      <c r="F255" s="346"/>
      <c r="G255" s="346"/>
      <c r="H255" s="346"/>
      <c r="I255" s="346"/>
      <c r="J255" s="346"/>
      <c r="K255" s="346"/>
      <c r="L255" s="346"/>
      <c r="M255" s="43" t="e">
        <f>B255</f>
        <v>#N/A</v>
      </c>
      <c r="O255" s="319"/>
      <c r="Q255" s="387"/>
      <c r="R255" s="388"/>
      <c r="S255" s="388"/>
      <c r="T255" s="388"/>
      <c r="U255" s="388"/>
      <c r="V255" s="386"/>
    </row>
    <row r="256" spans="2:22" ht="12.75">
      <c r="B256" s="43" t="e">
        <f>IF(B255&gt;xW,V256,#N/A)</f>
        <v>#N/A</v>
      </c>
      <c r="C256" s="345"/>
      <c r="D256" s="345"/>
      <c r="E256" s="346"/>
      <c r="F256" s="346"/>
      <c r="G256" s="346"/>
      <c r="H256" s="346"/>
      <c r="I256" s="346"/>
      <c r="J256" s="346"/>
      <c r="K256" s="346"/>
      <c r="L256" s="346"/>
      <c r="M256" s="43" t="e">
        <f>M255</f>
        <v>#N/A</v>
      </c>
      <c r="O256" s="319"/>
      <c r="Q256" s="384" t="e">
        <f t="shared" ref="Q256" si="107">B255</f>
        <v>#N/A</v>
      </c>
      <c r="R256" s="385" t="e">
        <f>INDEX(x.ascendente,MATCH(B255,y.ascendente,1))</f>
        <v>#N/A</v>
      </c>
      <c r="S256" s="385" t="e">
        <f>INDEX(x.descendente,MATCH(B255,y.descendente,-1))</f>
        <v>#N/A</v>
      </c>
      <c r="T256" s="385" t="e">
        <f>INDEX(y.ascendente,MATCH(B255,y.ascendente,1))</f>
        <v>#N/A</v>
      </c>
      <c r="U256" s="385" t="e">
        <f>INDEX(y.descendente,MATCH(B255,y.descendente,-1))</f>
        <v>#N/A</v>
      </c>
      <c r="V256" s="386" t="e">
        <f t="shared" ref="V256" si="108">FORECAST(B255,R256:S256,T256:U256)</f>
        <v>#N/A</v>
      </c>
    </row>
    <row r="257" spans="2:22" ht="12.75">
      <c r="B257" s="43" t="e">
        <f t="shared" ref="B257" si="109">B256</f>
        <v>#N/A</v>
      </c>
      <c r="C257" s="345"/>
      <c r="D257" s="345"/>
      <c r="E257" s="346"/>
      <c r="F257" s="346"/>
      <c r="G257" s="346"/>
      <c r="H257" s="346"/>
      <c r="I257" s="346"/>
      <c r="J257" s="346"/>
      <c r="K257" s="346"/>
      <c r="L257" s="346"/>
      <c r="M257" s="43" t="e">
        <f>B257</f>
        <v>#N/A</v>
      </c>
      <c r="O257" s="319"/>
      <c r="Q257" s="387"/>
      <c r="R257" s="388"/>
      <c r="S257" s="388"/>
      <c r="T257" s="388"/>
      <c r="U257" s="388"/>
      <c r="V257" s="386"/>
    </row>
    <row r="258" spans="2:22" ht="12.75">
      <c r="B258" s="43" t="e">
        <f>IF(B257&gt;xW,V258,#N/A)</f>
        <v>#N/A</v>
      </c>
      <c r="C258" s="345"/>
      <c r="D258" s="345"/>
      <c r="E258" s="346"/>
      <c r="F258" s="346"/>
      <c r="G258" s="346"/>
      <c r="H258" s="346"/>
      <c r="I258" s="346"/>
      <c r="J258" s="346"/>
      <c r="K258" s="346"/>
      <c r="L258" s="346"/>
      <c r="M258" s="43" t="e">
        <f>M257</f>
        <v>#N/A</v>
      </c>
      <c r="O258" s="319"/>
      <c r="Q258" s="384" t="e">
        <f t="shared" ref="Q258" si="110">B257</f>
        <v>#N/A</v>
      </c>
      <c r="R258" s="385" t="e">
        <f>INDEX(x.ascendente,MATCH(B257,y.ascendente,1))</f>
        <v>#N/A</v>
      </c>
      <c r="S258" s="385" t="e">
        <f>INDEX(x.descendente,MATCH(B257,y.descendente,-1))</f>
        <v>#N/A</v>
      </c>
      <c r="T258" s="385" t="e">
        <f>INDEX(y.ascendente,MATCH(B257,y.ascendente,1))</f>
        <v>#N/A</v>
      </c>
      <c r="U258" s="385" t="e">
        <f>INDEX(y.descendente,MATCH(B257,y.descendente,-1))</f>
        <v>#N/A</v>
      </c>
      <c r="V258" s="386" t="e">
        <f t="shared" ref="V258" si="111">FORECAST(B257,R258:S258,T258:U258)</f>
        <v>#N/A</v>
      </c>
    </row>
    <row r="259" spans="2:22" ht="12.75">
      <c r="B259" s="43" t="e">
        <f t="shared" ref="B259" si="112">B258</f>
        <v>#N/A</v>
      </c>
      <c r="C259" s="345"/>
      <c r="D259" s="345"/>
      <c r="E259" s="346"/>
      <c r="F259" s="346"/>
      <c r="G259" s="346"/>
      <c r="H259" s="346"/>
      <c r="I259" s="346"/>
      <c r="J259" s="346"/>
      <c r="K259" s="346"/>
      <c r="L259" s="346"/>
      <c r="M259" s="43" t="e">
        <f>B259</f>
        <v>#N/A</v>
      </c>
      <c r="O259" s="319"/>
      <c r="Q259" s="387"/>
      <c r="R259" s="388"/>
      <c r="S259" s="388"/>
      <c r="T259" s="388"/>
      <c r="U259" s="388"/>
      <c r="V259" s="386"/>
    </row>
    <row r="260" spans="2:22" ht="12.75">
      <c r="B260" s="43" t="e">
        <f>IF(B259&gt;xW,V260,#N/A)</f>
        <v>#N/A</v>
      </c>
      <c r="C260" s="345"/>
      <c r="D260" s="345"/>
      <c r="E260" s="346"/>
      <c r="F260" s="346"/>
      <c r="G260" s="346"/>
      <c r="H260" s="346"/>
      <c r="I260" s="346"/>
      <c r="J260" s="346"/>
      <c r="K260" s="346"/>
      <c r="L260" s="346"/>
      <c r="M260" s="43" t="e">
        <f>M259</f>
        <v>#N/A</v>
      </c>
      <c r="O260" s="319"/>
      <c r="Q260" s="384" t="e">
        <f t="shared" ref="Q260" si="113">B259</f>
        <v>#N/A</v>
      </c>
      <c r="R260" s="385" t="e">
        <f>INDEX(x.ascendente,MATCH(B259,y.ascendente,1))</f>
        <v>#N/A</v>
      </c>
      <c r="S260" s="385" t="e">
        <f>INDEX(x.descendente,MATCH(B259,y.descendente,-1))</f>
        <v>#N/A</v>
      </c>
      <c r="T260" s="385" t="e">
        <f>INDEX(y.ascendente,MATCH(B259,y.ascendente,1))</f>
        <v>#N/A</v>
      </c>
      <c r="U260" s="385" t="e">
        <f>INDEX(y.descendente,MATCH(B259,y.descendente,-1))</f>
        <v>#N/A</v>
      </c>
      <c r="V260" s="386" t="e">
        <f t="shared" ref="V260" si="114">FORECAST(B259,R260:S260,T260:U260)</f>
        <v>#N/A</v>
      </c>
    </row>
    <row r="261" spans="2:22" ht="12.75">
      <c r="B261" s="43" t="e">
        <f t="shared" ref="B261" si="115">B260</f>
        <v>#N/A</v>
      </c>
      <c r="C261" s="345"/>
      <c r="D261" s="345"/>
      <c r="E261" s="346"/>
      <c r="F261" s="346"/>
      <c r="G261" s="346"/>
      <c r="H261" s="346"/>
      <c r="I261" s="346"/>
      <c r="J261" s="346"/>
      <c r="K261" s="346"/>
      <c r="L261" s="346"/>
      <c r="M261" s="43" t="e">
        <f>B261</f>
        <v>#N/A</v>
      </c>
      <c r="O261" s="319"/>
      <c r="Q261" s="387"/>
      <c r="R261" s="388"/>
      <c r="S261" s="388"/>
      <c r="T261" s="388"/>
      <c r="U261" s="388"/>
      <c r="V261" s="386"/>
    </row>
    <row r="262" spans="2:22" ht="12.75">
      <c r="B262" s="43" t="e">
        <f>IF(B261&gt;xW,V262,#N/A)</f>
        <v>#N/A</v>
      </c>
      <c r="C262" s="345"/>
      <c r="D262" s="345"/>
      <c r="E262" s="346"/>
      <c r="F262" s="346"/>
      <c r="G262" s="346"/>
      <c r="H262" s="346"/>
      <c r="I262" s="346"/>
      <c r="J262" s="346"/>
      <c r="K262" s="346"/>
      <c r="L262" s="346"/>
      <c r="M262" s="43" t="e">
        <f>M261</f>
        <v>#N/A</v>
      </c>
      <c r="O262" s="319"/>
      <c r="Q262" s="384" t="e">
        <f t="shared" ref="Q262" si="116">B261</f>
        <v>#N/A</v>
      </c>
      <c r="R262" s="385" t="e">
        <f>INDEX(x.ascendente,MATCH(B261,y.ascendente,1))</f>
        <v>#N/A</v>
      </c>
      <c r="S262" s="385" t="e">
        <f>INDEX(x.descendente,MATCH(B261,y.descendente,-1))</f>
        <v>#N/A</v>
      </c>
      <c r="T262" s="385" t="e">
        <f>INDEX(y.ascendente,MATCH(B261,y.ascendente,1))</f>
        <v>#N/A</v>
      </c>
      <c r="U262" s="385" t="e">
        <f>INDEX(y.descendente,MATCH(B261,y.descendente,-1))</f>
        <v>#N/A</v>
      </c>
      <c r="V262" s="386" t="e">
        <f t="shared" ref="V262" si="117">FORECAST(B261,R262:S262,T262:U262)</f>
        <v>#N/A</v>
      </c>
    </row>
    <row r="263" spans="2:22" ht="12.75">
      <c r="B263" s="43" t="e">
        <f t="shared" ref="B263" si="118">B262</f>
        <v>#N/A</v>
      </c>
      <c r="C263" s="345"/>
      <c r="D263" s="345"/>
      <c r="E263" s="346"/>
      <c r="F263" s="346"/>
      <c r="G263" s="346"/>
      <c r="H263" s="346"/>
      <c r="I263" s="346"/>
      <c r="J263" s="346"/>
      <c r="K263" s="346"/>
      <c r="L263" s="346"/>
      <c r="M263" s="43" t="e">
        <f>B263</f>
        <v>#N/A</v>
      </c>
      <c r="O263" s="319"/>
      <c r="Q263" s="387"/>
      <c r="R263" s="388"/>
      <c r="S263" s="388"/>
      <c r="T263" s="388"/>
      <c r="U263" s="388"/>
      <c r="V263" s="386"/>
    </row>
    <row r="264" spans="2:22" ht="12.75">
      <c r="B264" s="43" t="e">
        <f>IF(B263&gt;xW,V264,#N/A)</f>
        <v>#N/A</v>
      </c>
      <c r="C264" s="345"/>
      <c r="D264" s="345"/>
      <c r="E264" s="346"/>
      <c r="F264" s="346"/>
      <c r="G264" s="346"/>
      <c r="H264" s="346"/>
      <c r="I264" s="346"/>
      <c r="J264" s="346"/>
      <c r="K264" s="346"/>
      <c r="L264" s="346"/>
      <c r="M264" s="43" t="e">
        <f>M263</f>
        <v>#N/A</v>
      </c>
      <c r="O264" s="319"/>
      <c r="Q264" s="384" t="e">
        <f t="shared" ref="Q264" si="119">B263</f>
        <v>#N/A</v>
      </c>
      <c r="R264" s="385" t="e">
        <f>INDEX(x.ascendente,MATCH(B263,y.ascendente,1))</f>
        <v>#N/A</v>
      </c>
      <c r="S264" s="385" t="e">
        <f>INDEX(x.descendente,MATCH(B263,y.descendente,-1))</f>
        <v>#N/A</v>
      </c>
      <c r="T264" s="385" t="e">
        <f>INDEX(y.ascendente,MATCH(B263,y.ascendente,1))</f>
        <v>#N/A</v>
      </c>
      <c r="U264" s="385" t="e">
        <f>INDEX(y.descendente,MATCH(B263,y.descendente,-1))</f>
        <v>#N/A</v>
      </c>
      <c r="V264" s="386" t="e">
        <f t="shared" ref="V264" si="120">FORECAST(B263,R264:S264,T264:U264)</f>
        <v>#N/A</v>
      </c>
    </row>
    <row r="265" spans="2:22" ht="12.75">
      <c r="B265" s="43" t="e">
        <f t="shared" ref="B265" si="121">B264</f>
        <v>#N/A</v>
      </c>
      <c r="C265" s="345"/>
      <c r="D265" s="345"/>
      <c r="E265" s="346"/>
      <c r="F265" s="346"/>
      <c r="G265" s="346"/>
      <c r="H265" s="346"/>
      <c r="I265" s="346"/>
      <c r="J265" s="346"/>
      <c r="K265" s="346"/>
      <c r="L265" s="346"/>
      <c r="M265" s="43" t="e">
        <f>B265</f>
        <v>#N/A</v>
      </c>
      <c r="O265" s="319"/>
      <c r="Q265" s="387"/>
      <c r="R265" s="388"/>
      <c r="S265" s="388"/>
      <c r="T265" s="388"/>
      <c r="U265" s="388"/>
      <c r="V265" s="386"/>
    </row>
    <row r="266" spans="2:22" ht="12.75">
      <c r="B266" s="43" t="e">
        <f>IF(B265&gt;xW,V266,#N/A)</f>
        <v>#N/A</v>
      </c>
      <c r="C266" s="345"/>
      <c r="D266" s="345"/>
      <c r="E266" s="346"/>
      <c r="F266" s="346"/>
      <c r="G266" s="346"/>
      <c r="H266" s="346"/>
      <c r="I266" s="346"/>
      <c r="J266" s="346"/>
      <c r="K266" s="346"/>
      <c r="L266" s="346"/>
      <c r="M266" s="43" t="e">
        <f>M265</f>
        <v>#N/A</v>
      </c>
      <c r="O266" s="319"/>
      <c r="Q266" s="384" t="e">
        <f t="shared" ref="Q266" si="122">B265</f>
        <v>#N/A</v>
      </c>
      <c r="R266" s="385" t="e">
        <f>INDEX(x.ascendente,MATCH(B265,y.ascendente,1))</f>
        <v>#N/A</v>
      </c>
      <c r="S266" s="385" t="e">
        <f>INDEX(x.descendente,MATCH(B265,y.descendente,-1))</f>
        <v>#N/A</v>
      </c>
      <c r="T266" s="385" t="e">
        <f>INDEX(y.ascendente,MATCH(B265,y.ascendente,1))</f>
        <v>#N/A</v>
      </c>
      <c r="U266" s="385" t="e">
        <f>INDEX(y.descendente,MATCH(B265,y.descendente,-1))</f>
        <v>#N/A</v>
      </c>
      <c r="V266" s="386" t="e">
        <f t="shared" ref="V266" si="123">FORECAST(B265,R266:S266,T266:U266)</f>
        <v>#N/A</v>
      </c>
    </row>
    <row r="267" spans="2:22" ht="12.75">
      <c r="B267" s="43" t="e">
        <f t="shared" ref="B267" si="124">B266</f>
        <v>#N/A</v>
      </c>
      <c r="C267" s="345"/>
      <c r="D267" s="345"/>
      <c r="E267" s="346"/>
      <c r="F267" s="346"/>
      <c r="G267" s="346"/>
      <c r="H267" s="346"/>
      <c r="I267" s="346"/>
      <c r="J267" s="346"/>
      <c r="K267" s="346"/>
      <c r="L267" s="346"/>
      <c r="M267" s="43" t="e">
        <f>B267</f>
        <v>#N/A</v>
      </c>
      <c r="O267" s="319"/>
      <c r="Q267" s="387"/>
      <c r="R267" s="388"/>
      <c r="S267" s="388"/>
      <c r="T267" s="388"/>
      <c r="U267" s="388"/>
      <c r="V267" s="386"/>
    </row>
    <row r="268" spans="2:22" ht="12.75">
      <c r="B268" s="43" t="e">
        <f>IF(B267&gt;xW,V268,#N/A)</f>
        <v>#N/A</v>
      </c>
      <c r="C268" s="345"/>
      <c r="D268" s="345"/>
      <c r="E268" s="346"/>
      <c r="F268" s="346"/>
      <c r="G268" s="346"/>
      <c r="H268" s="346"/>
      <c r="I268" s="346"/>
      <c r="J268" s="346"/>
      <c r="K268" s="346"/>
      <c r="L268" s="346"/>
      <c r="M268" s="43" t="e">
        <f>M267</f>
        <v>#N/A</v>
      </c>
      <c r="O268" s="319"/>
      <c r="Q268" s="384" t="e">
        <f t="shared" ref="Q268" si="125">B267</f>
        <v>#N/A</v>
      </c>
      <c r="R268" s="385" t="e">
        <f>INDEX(x.ascendente,MATCH(B267,y.ascendente,1))</f>
        <v>#N/A</v>
      </c>
      <c r="S268" s="385" t="e">
        <f>INDEX(x.descendente,MATCH(B267,y.descendente,-1))</f>
        <v>#N/A</v>
      </c>
      <c r="T268" s="385" t="e">
        <f>INDEX(y.ascendente,MATCH(B267,y.ascendente,1))</f>
        <v>#N/A</v>
      </c>
      <c r="U268" s="385" t="e">
        <f>INDEX(y.descendente,MATCH(B267,y.descendente,-1))</f>
        <v>#N/A</v>
      </c>
      <c r="V268" s="386" t="e">
        <f t="shared" ref="V268" si="126">FORECAST(B267,R268:S268,T268:U268)</f>
        <v>#N/A</v>
      </c>
    </row>
    <row r="269" spans="2:22" ht="12.75">
      <c r="B269" s="43" t="e">
        <f t="shared" ref="B269" si="127">B268</f>
        <v>#N/A</v>
      </c>
      <c r="C269" s="345"/>
      <c r="D269" s="345"/>
      <c r="E269" s="346"/>
      <c r="F269" s="346"/>
      <c r="G269" s="346"/>
      <c r="H269" s="346"/>
      <c r="I269" s="346"/>
      <c r="J269" s="346"/>
      <c r="K269" s="346"/>
      <c r="L269" s="346"/>
      <c r="M269" s="43" t="e">
        <f>B269</f>
        <v>#N/A</v>
      </c>
      <c r="O269" s="319"/>
      <c r="Q269" s="387"/>
      <c r="R269" s="388"/>
      <c r="S269" s="388"/>
      <c r="T269" s="388"/>
      <c r="U269" s="388"/>
      <c r="V269" s="386"/>
    </row>
    <row r="270" spans="2:22" ht="12.75">
      <c r="B270" s="43" t="e">
        <f>IF(B269&gt;xW,V270,#N/A)</f>
        <v>#N/A</v>
      </c>
      <c r="C270" s="345"/>
      <c r="D270" s="345"/>
      <c r="E270" s="346"/>
      <c r="F270" s="346"/>
      <c r="G270" s="346"/>
      <c r="H270" s="346"/>
      <c r="I270" s="346"/>
      <c r="J270" s="346"/>
      <c r="K270" s="346"/>
      <c r="L270" s="346"/>
      <c r="M270" s="43" t="e">
        <f>M269</f>
        <v>#N/A</v>
      </c>
      <c r="O270" s="319"/>
      <c r="Q270" s="384" t="e">
        <f t="shared" ref="Q270" si="128">B269</f>
        <v>#N/A</v>
      </c>
      <c r="R270" s="385" t="e">
        <f>INDEX(x.ascendente,MATCH(B269,y.ascendente,1))</f>
        <v>#N/A</v>
      </c>
      <c r="S270" s="385" t="e">
        <f>INDEX(x.descendente,MATCH(B269,y.descendente,-1))</f>
        <v>#N/A</v>
      </c>
      <c r="T270" s="385" t="e">
        <f>INDEX(y.ascendente,MATCH(B269,y.ascendente,1))</f>
        <v>#N/A</v>
      </c>
      <c r="U270" s="385" t="e">
        <f>INDEX(y.descendente,MATCH(B269,y.descendente,-1))</f>
        <v>#N/A</v>
      </c>
      <c r="V270" s="386" t="e">
        <f t="shared" ref="V270" si="129">FORECAST(B269,R270:S270,T270:U270)</f>
        <v>#N/A</v>
      </c>
    </row>
    <row r="271" spans="2:22" ht="12.75">
      <c r="B271" s="43" t="e">
        <f t="shared" ref="B271" si="130">B270</f>
        <v>#N/A</v>
      </c>
      <c r="C271" s="345"/>
      <c r="D271" s="345"/>
      <c r="E271" s="346"/>
      <c r="F271" s="346"/>
      <c r="G271" s="346"/>
      <c r="H271" s="346"/>
      <c r="I271" s="346"/>
      <c r="J271" s="346"/>
      <c r="K271" s="346"/>
      <c r="L271" s="346"/>
      <c r="M271" s="43" t="e">
        <f>B271</f>
        <v>#N/A</v>
      </c>
      <c r="O271" s="319"/>
      <c r="Q271" s="387"/>
      <c r="R271" s="388"/>
      <c r="S271" s="388"/>
      <c r="T271" s="388"/>
      <c r="U271" s="388"/>
      <c r="V271" s="386"/>
    </row>
    <row r="272" spans="2:22" ht="12.75">
      <c r="B272" s="43" t="e">
        <f>IF(B271&gt;xW,V272,#N/A)</f>
        <v>#N/A</v>
      </c>
      <c r="C272" s="345"/>
      <c r="D272" s="345"/>
      <c r="E272" s="346"/>
      <c r="F272" s="346"/>
      <c r="G272" s="346"/>
      <c r="H272" s="346"/>
      <c r="I272" s="346"/>
      <c r="J272" s="346"/>
      <c r="K272" s="346"/>
      <c r="L272" s="346"/>
      <c r="M272" s="43" t="e">
        <f>M271</f>
        <v>#N/A</v>
      </c>
      <c r="O272" s="319"/>
      <c r="Q272" s="384" t="e">
        <f t="shared" ref="Q272" si="131">B271</f>
        <v>#N/A</v>
      </c>
      <c r="R272" s="385" t="e">
        <f>INDEX(x.ascendente,MATCH(B271,y.ascendente,1))</f>
        <v>#N/A</v>
      </c>
      <c r="S272" s="385" t="e">
        <f>INDEX(x.descendente,MATCH(B271,y.descendente,-1))</f>
        <v>#N/A</v>
      </c>
      <c r="T272" s="385" t="e">
        <f>INDEX(y.ascendente,MATCH(B271,y.ascendente,1))</f>
        <v>#N/A</v>
      </c>
      <c r="U272" s="385" t="e">
        <f>INDEX(y.descendente,MATCH(B271,y.descendente,-1))</f>
        <v>#N/A</v>
      </c>
      <c r="V272" s="386" t="e">
        <f t="shared" ref="V272" si="132">FORECAST(B271,R272:S272,T272:U272)</f>
        <v>#N/A</v>
      </c>
    </row>
    <row r="273" spans="2:22" ht="12.75">
      <c r="B273" s="43" t="e">
        <f t="shared" ref="B273" si="133">B272</f>
        <v>#N/A</v>
      </c>
      <c r="C273" s="345"/>
      <c r="D273" s="345"/>
      <c r="E273" s="346"/>
      <c r="F273" s="346"/>
      <c r="G273" s="346"/>
      <c r="H273" s="346"/>
      <c r="I273" s="346"/>
      <c r="J273" s="346"/>
      <c r="K273" s="346"/>
      <c r="L273" s="346"/>
      <c r="M273" s="43" t="e">
        <f>B273</f>
        <v>#N/A</v>
      </c>
      <c r="O273" s="319"/>
      <c r="Q273" s="387"/>
      <c r="R273" s="388"/>
      <c r="S273" s="388"/>
      <c r="T273" s="388"/>
      <c r="U273" s="388"/>
      <c r="V273" s="386"/>
    </row>
    <row r="274" spans="2:22" ht="12.75">
      <c r="B274" s="43" t="e">
        <f>IF(B273&gt;xW,V274,#N/A)</f>
        <v>#N/A</v>
      </c>
      <c r="C274" s="345"/>
      <c r="D274" s="345"/>
      <c r="E274" s="346"/>
      <c r="F274" s="346"/>
      <c r="G274" s="346"/>
      <c r="H274" s="346"/>
      <c r="I274" s="346"/>
      <c r="J274" s="346"/>
      <c r="K274" s="346"/>
      <c r="L274" s="346"/>
      <c r="M274" s="43" t="e">
        <f>M273</f>
        <v>#N/A</v>
      </c>
      <c r="O274" s="319"/>
      <c r="Q274" s="384" t="e">
        <f t="shared" ref="Q274" si="134">B273</f>
        <v>#N/A</v>
      </c>
      <c r="R274" s="385" t="e">
        <f>INDEX(x.ascendente,MATCH(B273,y.ascendente,1))</f>
        <v>#N/A</v>
      </c>
      <c r="S274" s="385" t="e">
        <f>INDEX(x.descendente,MATCH(B273,y.descendente,-1))</f>
        <v>#N/A</v>
      </c>
      <c r="T274" s="385" t="e">
        <f>INDEX(y.ascendente,MATCH(B273,y.ascendente,1))</f>
        <v>#N/A</v>
      </c>
      <c r="U274" s="385" t="e">
        <f>INDEX(y.descendente,MATCH(B273,y.descendente,-1))</f>
        <v>#N/A</v>
      </c>
      <c r="V274" s="386" t="e">
        <f t="shared" ref="V274" si="135">FORECAST(B273,R274:S274,T274:U274)</f>
        <v>#N/A</v>
      </c>
    </row>
    <row r="275" spans="2:22" ht="12.75">
      <c r="B275" s="43" t="e">
        <f t="shared" ref="B275" si="136">B274</f>
        <v>#N/A</v>
      </c>
      <c r="C275" s="345"/>
      <c r="D275" s="345"/>
      <c r="E275" s="346"/>
      <c r="F275" s="346"/>
      <c r="G275" s="346"/>
      <c r="H275" s="346"/>
      <c r="I275" s="346"/>
      <c r="J275" s="346"/>
      <c r="K275" s="346"/>
      <c r="L275" s="346"/>
      <c r="M275" s="43" t="e">
        <f>B275</f>
        <v>#N/A</v>
      </c>
      <c r="O275" s="319"/>
      <c r="Q275" s="387"/>
      <c r="R275" s="388"/>
      <c r="S275" s="388"/>
      <c r="T275" s="388"/>
      <c r="U275" s="388"/>
      <c r="V275" s="386"/>
    </row>
    <row r="276" spans="2:22" ht="12.75">
      <c r="B276" s="43" t="e">
        <f>IF(B275&gt;xW,V276,#N/A)</f>
        <v>#N/A</v>
      </c>
      <c r="C276" s="345"/>
      <c r="D276" s="345"/>
      <c r="E276" s="346"/>
      <c r="F276" s="346"/>
      <c r="G276" s="346"/>
      <c r="H276" s="346"/>
      <c r="I276" s="346"/>
      <c r="J276" s="346"/>
      <c r="K276" s="346"/>
      <c r="L276" s="346"/>
      <c r="M276" s="43" t="e">
        <f>M275</f>
        <v>#N/A</v>
      </c>
      <c r="O276" s="319"/>
      <c r="Q276" s="384" t="e">
        <f t="shared" ref="Q276" si="137">B275</f>
        <v>#N/A</v>
      </c>
      <c r="R276" s="385" t="e">
        <f>INDEX(x.ascendente,MATCH(B275,y.ascendente,1))</f>
        <v>#N/A</v>
      </c>
      <c r="S276" s="385" t="e">
        <f>INDEX(x.descendente,MATCH(B275,y.descendente,-1))</f>
        <v>#N/A</v>
      </c>
      <c r="T276" s="385" t="e">
        <f>INDEX(y.ascendente,MATCH(B275,y.ascendente,1))</f>
        <v>#N/A</v>
      </c>
      <c r="U276" s="385" t="e">
        <f>INDEX(y.descendente,MATCH(B275,y.descendente,-1))</f>
        <v>#N/A</v>
      </c>
      <c r="V276" s="386" t="e">
        <f t="shared" ref="V276" si="138">FORECAST(B275,R276:S276,T276:U276)</f>
        <v>#N/A</v>
      </c>
    </row>
    <row r="277" spans="2:22" ht="12.75">
      <c r="B277" s="43" t="e">
        <f t="shared" ref="B277" si="139">B276</f>
        <v>#N/A</v>
      </c>
      <c r="C277" s="345"/>
      <c r="D277" s="345"/>
      <c r="E277" s="346"/>
      <c r="F277" s="346"/>
      <c r="G277" s="346"/>
      <c r="H277" s="346"/>
      <c r="I277" s="346"/>
      <c r="J277" s="346"/>
      <c r="K277" s="346"/>
      <c r="L277" s="346"/>
      <c r="M277" s="43" t="e">
        <f>B277</f>
        <v>#N/A</v>
      </c>
      <c r="O277" s="319"/>
      <c r="Q277" s="387"/>
      <c r="R277" s="388"/>
      <c r="S277" s="388"/>
      <c r="T277" s="388"/>
      <c r="U277" s="388"/>
      <c r="V277" s="386"/>
    </row>
    <row r="278" spans="2:22" ht="12.75">
      <c r="B278" s="43" t="e">
        <f>IF(B277&gt;xW,V278,#N/A)</f>
        <v>#N/A</v>
      </c>
      <c r="C278" s="345"/>
      <c r="D278" s="345"/>
      <c r="E278" s="346"/>
      <c r="F278" s="346"/>
      <c r="G278" s="346"/>
      <c r="H278" s="346"/>
      <c r="I278" s="346"/>
      <c r="J278" s="346"/>
      <c r="K278" s="346"/>
      <c r="L278" s="346"/>
      <c r="M278" s="43" t="e">
        <f>M277</f>
        <v>#N/A</v>
      </c>
      <c r="O278" s="319"/>
      <c r="Q278" s="384" t="e">
        <f t="shared" ref="Q278" si="140">B277</f>
        <v>#N/A</v>
      </c>
      <c r="R278" s="385" t="e">
        <f>INDEX(x.ascendente,MATCH(B277,y.ascendente,1))</f>
        <v>#N/A</v>
      </c>
      <c r="S278" s="385" t="e">
        <f>INDEX(x.descendente,MATCH(B277,y.descendente,-1))</f>
        <v>#N/A</v>
      </c>
      <c r="T278" s="385" t="e">
        <f>INDEX(y.ascendente,MATCH(B277,y.ascendente,1))</f>
        <v>#N/A</v>
      </c>
      <c r="U278" s="385" t="e">
        <f>INDEX(y.descendente,MATCH(B277,y.descendente,-1))</f>
        <v>#N/A</v>
      </c>
      <c r="V278" s="386" t="e">
        <f t="shared" ref="V278" si="141">FORECAST(B277,R278:S278,T278:U278)</f>
        <v>#N/A</v>
      </c>
    </row>
    <row r="279" spans="2:22" ht="12.75">
      <c r="B279" s="43" t="e">
        <f t="shared" ref="B279" si="142">B278</f>
        <v>#N/A</v>
      </c>
      <c r="C279" s="345"/>
      <c r="D279" s="345"/>
      <c r="E279" s="346"/>
      <c r="F279" s="346"/>
      <c r="G279" s="346"/>
      <c r="H279" s="346"/>
      <c r="I279" s="346"/>
      <c r="J279" s="346"/>
      <c r="K279" s="346"/>
      <c r="L279" s="346"/>
      <c r="M279" s="43" t="e">
        <f>B279</f>
        <v>#N/A</v>
      </c>
      <c r="O279" s="319"/>
      <c r="Q279" s="387"/>
      <c r="R279" s="388"/>
      <c r="S279" s="388"/>
      <c r="T279" s="388"/>
      <c r="U279" s="388"/>
      <c r="V279" s="386"/>
    </row>
    <row r="280" spans="2:22" ht="12.75">
      <c r="B280" s="43" t="e">
        <f>IF(B279&gt;xW,V280,#N/A)</f>
        <v>#N/A</v>
      </c>
      <c r="C280" s="345"/>
      <c r="D280" s="345"/>
      <c r="E280" s="346"/>
      <c r="F280" s="346"/>
      <c r="G280" s="346"/>
      <c r="H280" s="346"/>
      <c r="I280" s="346"/>
      <c r="J280" s="346"/>
      <c r="K280" s="346"/>
      <c r="L280" s="346"/>
      <c r="M280" s="43" t="e">
        <f>M279</f>
        <v>#N/A</v>
      </c>
      <c r="O280" s="319"/>
      <c r="Q280" s="384" t="e">
        <f t="shared" ref="Q280" si="143">B279</f>
        <v>#N/A</v>
      </c>
      <c r="R280" s="385" t="e">
        <f>INDEX(x.ascendente,MATCH(B279,y.ascendente,1))</f>
        <v>#N/A</v>
      </c>
      <c r="S280" s="385" t="e">
        <f>INDEX(x.descendente,MATCH(B279,y.descendente,-1))</f>
        <v>#N/A</v>
      </c>
      <c r="T280" s="385" t="e">
        <f>INDEX(y.ascendente,MATCH(B279,y.ascendente,1))</f>
        <v>#N/A</v>
      </c>
      <c r="U280" s="385" t="e">
        <f>INDEX(y.descendente,MATCH(B279,y.descendente,-1))</f>
        <v>#N/A</v>
      </c>
      <c r="V280" s="386" t="e">
        <f t="shared" ref="V280" si="144">FORECAST(B279,R280:S280,T280:U280)</f>
        <v>#N/A</v>
      </c>
    </row>
    <row r="281" spans="2:22" ht="12.75">
      <c r="B281" s="43" t="e">
        <f t="shared" ref="B281" si="145">B280</f>
        <v>#N/A</v>
      </c>
      <c r="C281" s="345"/>
      <c r="D281" s="345"/>
      <c r="E281" s="346"/>
      <c r="F281" s="346"/>
      <c r="G281" s="346"/>
      <c r="H281" s="346"/>
      <c r="I281" s="346"/>
      <c r="J281" s="346"/>
      <c r="K281" s="346"/>
      <c r="L281" s="346"/>
      <c r="M281" s="43" t="e">
        <f>B281</f>
        <v>#N/A</v>
      </c>
      <c r="O281" s="319"/>
      <c r="Q281" s="387"/>
      <c r="R281" s="388"/>
      <c r="S281" s="388"/>
      <c r="T281" s="388"/>
      <c r="U281" s="388"/>
      <c r="V281" s="386"/>
    </row>
    <row r="282" spans="2:22" ht="12.75">
      <c r="B282" s="43" t="e">
        <f>IF(B281&gt;xW,V282,#N/A)</f>
        <v>#N/A</v>
      </c>
      <c r="C282" s="345"/>
      <c r="D282" s="345"/>
      <c r="E282" s="346"/>
      <c r="F282" s="346"/>
      <c r="G282" s="346"/>
      <c r="H282" s="346"/>
      <c r="I282" s="346"/>
      <c r="J282" s="346"/>
      <c r="K282" s="346"/>
      <c r="L282" s="346"/>
      <c r="M282" s="43" t="e">
        <f>M281</f>
        <v>#N/A</v>
      </c>
      <c r="O282" s="319"/>
      <c r="Q282" s="384" t="e">
        <f t="shared" ref="Q282" si="146">B281</f>
        <v>#N/A</v>
      </c>
      <c r="R282" s="385" t="e">
        <f>INDEX(x.ascendente,MATCH(B281,y.ascendente,1))</f>
        <v>#N/A</v>
      </c>
      <c r="S282" s="385" t="e">
        <f>INDEX(x.descendente,MATCH(B281,y.descendente,-1))</f>
        <v>#N/A</v>
      </c>
      <c r="T282" s="385" t="e">
        <f>INDEX(y.ascendente,MATCH(B281,y.ascendente,1))</f>
        <v>#N/A</v>
      </c>
      <c r="U282" s="385" t="e">
        <f>INDEX(y.descendente,MATCH(B281,y.descendente,-1))</f>
        <v>#N/A</v>
      </c>
      <c r="V282" s="386" t="e">
        <f t="shared" ref="V282" si="147">FORECAST(B281,R282:S282,T282:U282)</f>
        <v>#N/A</v>
      </c>
    </row>
    <row r="283" spans="2:22" ht="12.75">
      <c r="B283" s="43" t="e">
        <f t="shared" ref="B283" si="148">B282</f>
        <v>#N/A</v>
      </c>
      <c r="C283" s="345"/>
      <c r="D283" s="345"/>
      <c r="E283" s="346"/>
      <c r="F283" s="346"/>
      <c r="G283" s="346"/>
      <c r="H283" s="346"/>
      <c r="I283" s="346"/>
      <c r="J283" s="346"/>
      <c r="K283" s="346"/>
      <c r="L283" s="346"/>
      <c r="M283" s="43" t="e">
        <f>B283</f>
        <v>#N/A</v>
      </c>
      <c r="O283" s="319"/>
      <c r="Q283" s="387"/>
      <c r="R283" s="388"/>
      <c r="S283" s="388"/>
      <c r="T283" s="388"/>
      <c r="U283" s="388"/>
      <c r="V283" s="386"/>
    </row>
    <row r="284" spans="2:22" ht="12.75">
      <c r="B284" s="43" t="e">
        <f>IF(B283&gt;xW,V284,#N/A)</f>
        <v>#N/A</v>
      </c>
      <c r="C284" s="345"/>
      <c r="D284" s="345"/>
      <c r="E284" s="346"/>
      <c r="F284" s="346"/>
      <c r="G284" s="346"/>
      <c r="H284" s="346"/>
      <c r="I284" s="346"/>
      <c r="J284" s="346"/>
      <c r="K284" s="346"/>
      <c r="L284" s="346"/>
      <c r="M284" s="43" t="e">
        <f>M283</f>
        <v>#N/A</v>
      </c>
      <c r="O284" s="319"/>
      <c r="Q284" s="384" t="e">
        <f t="shared" ref="Q284" si="149">B283</f>
        <v>#N/A</v>
      </c>
      <c r="R284" s="385" t="e">
        <f>INDEX(x.ascendente,MATCH(B283,y.ascendente,1))</f>
        <v>#N/A</v>
      </c>
      <c r="S284" s="385" t="e">
        <f>INDEX(x.descendente,MATCH(B283,y.descendente,-1))</f>
        <v>#N/A</v>
      </c>
      <c r="T284" s="385" t="e">
        <f>INDEX(y.ascendente,MATCH(B283,y.ascendente,1))</f>
        <v>#N/A</v>
      </c>
      <c r="U284" s="385" t="e">
        <f>INDEX(y.descendente,MATCH(B283,y.descendente,-1))</f>
        <v>#N/A</v>
      </c>
      <c r="V284" s="386" t="e">
        <f t="shared" ref="V284" si="150">FORECAST(B283,R284:S284,T284:U284)</f>
        <v>#N/A</v>
      </c>
    </row>
    <row r="285" spans="2:22" ht="12.75">
      <c r="B285" s="43" t="e">
        <f t="shared" ref="B285" si="151">B284</f>
        <v>#N/A</v>
      </c>
      <c r="C285" s="345"/>
      <c r="D285" s="345"/>
      <c r="E285" s="346"/>
      <c r="F285" s="346"/>
      <c r="G285" s="346"/>
      <c r="H285" s="346"/>
      <c r="I285" s="346"/>
      <c r="J285" s="346"/>
      <c r="K285" s="346"/>
      <c r="L285" s="346"/>
      <c r="M285" s="43" t="e">
        <f>B285</f>
        <v>#N/A</v>
      </c>
      <c r="O285" s="319"/>
      <c r="Q285" s="387"/>
      <c r="R285" s="388"/>
      <c r="S285" s="388"/>
      <c r="T285" s="388"/>
      <c r="U285" s="388"/>
      <c r="V285" s="386"/>
    </row>
    <row r="286" spans="2:22" ht="12.75">
      <c r="B286" s="43" t="e">
        <f>IF(B285&gt;xW,V286,#N/A)</f>
        <v>#N/A</v>
      </c>
      <c r="C286" s="345"/>
      <c r="D286" s="345"/>
      <c r="E286" s="346"/>
      <c r="F286" s="346"/>
      <c r="G286" s="346"/>
      <c r="H286" s="346"/>
      <c r="I286" s="346"/>
      <c r="J286" s="346"/>
      <c r="K286" s="346"/>
      <c r="L286" s="346"/>
      <c r="M286" s="43" t="e">
        <f>M285</f>
        <v>#N/A</v>
      </c>
      <c r="O286" s="319"/>
      <c r="Q286" s="384" t="e">
        <f t="shared" ref="Q286" si="152">B285</f>
        <v>#N/A</v>
      </c>
      <c r="R286" s="385" t="e">
        <f>INDEX(x.ascendente,MATCH(B285,y.ascendente,1))</f>
        <v>#N/A</v>
      </c>
      <c r="S286" s="385" t="e">
        <f>INDEX(x.descendente,MATCH(B285,y.descendente,-1))</f>
        <v>#N/A</v>
      </c>
      <c r="T286" s="385" t="e">
        <f>INDEX(y.ascendente,MATCH(B285,y.ascendente,1))</f>
        <v>#N/A</v>
      </c>
      <c r="U286" s="385" t="e">
        <f>INDEX(y.descendente,MATCH(B285,y.descendente,-1))</f>
        <v>#N/A</v>
      </c>
      <c r="V286" s="386" t="e">
        <f t="shared" ref="V286" si="153">FORECAST(B285,R286:S286,T286:U286)</f>
        <v>#N/A</v>
      </c>
    </row>
    <row r="287" spans="2:22" ht="12.75">
      <c r="B287" s="43" t="e">
        <f t="shared" ref="B287" si="154">B286</f>
        <v>#N/A</v>
      </c>
      <c r="C287" s="345"/>
      <c r="D287" s="345"/>
      <c r="E287" s="346"/>
      <c r="F287" s="346"/>
      <c r="G287" s="346"/>
      <c r="H287" s="346"/>
      <c r="I287" s="346"/>
      <c r="J287" s="346"/>
      <c r="K287" s="346"/>
      <c r="L287" s="346"/>
      <c r="M287" s="43" t="e">
        <f>B287</f>
        <v>#N/A</v>
      </c>
      <c r="O287" s="319"/>
      <c r="Q287" s="387"/>
      <c r="R287" s="388"/>
      <c r="S287" s="388"/>
      <c r="T287" s="388"/>
      <c r="U287" s="388"/>
      <c r="V287" s="386"/>
    </row>
    <row r="288" spans="2:22" ht="12.75">
      <c r="B288" s="43" t="e">
        <f>IF(B287&gt;xW,V288,#N/A)</f>
        <v>#N/A</v>
      </c>
      <c r="C288" s="345"/>
      <c r="D288" s="345"/>
      <c r="E288" s="346"/>
      <c r="F288" s="346"/>
      <c r="G288" s="346"/>
      <c r="H288" s="346"/>
      <c r="I288" s="346"/>
      <c r="J288" s="346"/>
      <c r="K288" s="346"/>
      <c r="L288" s="346"/>
      <c r="M288" s="43" t="e">
        <f>M287</f>
        <v>#N/A</v>
      </c>
      <c r="O288" s="319"/>
      <c r="Q288" s="384" t="e">
        <f t="shared" ref="Q288" si="155">B287</f>
        <v>#N/A</v>
      </c>
      <c r="R288" s="385" t="e">
        <f>INDEX(x.ascendente,MATCH(B287,y.ascendente,1))</f>
        <v>#N/A</v>
      </c>
      <c r="S288" s="385" t="e">
        <f>INDEX(x.descendente,MATCH(B287,y.descendente,-1))</f>
        <v>#N/A</v>
      </c>
      <c r="T288" s="385" t="e">
        <f>INDEX(y.ascendente,MATCH(B287,y.ascendente,1))</f>
        <v>#N/A</v>
      </c>
      <c r="U288" s="385" t="e">
        <f>INDEX(y.descendente,MATCH(B287,y.descendente,-1))</f>
        <v>#N/A</v>
      </c>
      <c r="V288" s="386" t="e">
        <f t="shared" ref="V288" si="156">FORECAST(B287,R288:S288,T288:U288)</f>
        <v>#N/A</v>
      </c>
    </row>
    <row r="289" spans="1:22" ht="12.75">
      <c r="B289" s="43" t="e">
        <f t="shared" ref="B289" si="157">B288</f>
        <v>#N/A</v>
      </c>
      <c r="C289" s="345"/>
      <c r="D289" s="345"/>
      <c r="E289" s="346"/>
      <c r="F289" s="346"/>
      <c r="G289" s="346"/>
      <c r="H289" s="346"/>
      <c r="I289" s="346"/>
      <c r="J289" s="346"/>
      <c r="K289" s="346"/>
      <c r="L289" s="346"/>
      <c r="M289" s="43" t="e">
        <f>B289</f>
        <v>#N/A</v>
      </c>
      <c r="O289" s="319"/>
      <c r="Q289" s="387"/>
      <c r="R289" s="388"/>
      <c r="S289" s="388"/>
      <c r="T289" s="388"/>
      <c r="U289" s="388"/>
      <c r="V289" s="386"/>
    </row>
    <row r="290" spans="1:22" ht="12.75">
      <c r="B290" s="43" t="e">
        <f>IF(B289&gt;xW,V290,#N/A)</f>
        <v>#N/A</v>
      </c>
      <c r="C290" s="345"/>
      <c r="D290" s="345"/>
      <c r="E290" s="346"/>
      <c r="F290" s="346"/>
      <c r="G290" s="346"/>
      <c r="H290" s="346"/>
      <c r="I290" s="346"/>
      <c r="J290" s="346"/>
      <c r="K290" s="346"/>
      <c r="L290" s="346"/>
      <c r="M290" s="43" t="e">
        <f>M289</f>
        <v>#N/A</v>
      </c>
      <c r="O290" s="319"/>
      <c r="Q290" s="384" t="e">
        <f t="shared" ref="Q290" si="158">B289</f>
        <v>#N/A</v>
      </c>
      <c r="R290" s="385" t="e">
        <f>INDEX(x.ascendente,MATCH(B289,y.ascendente,1))</f>
        <v>#N/A</v>
      </c>
      <c r="S290" s="385" t="e">
        <f>INDEX(x.descendente,MATCH(B289,y.descendente,-1))</f>
        <v>#N/A</v>
      </c>
      <c r="T290" s="385" t="e">
        <f>INDEX(y.ascendente,MATCH(B289,y.ascendente,1))</f>
        <v>#N/A</v>
      </c>
      <c r="U290" s="385" t="e">
        <f>INDEX(y.descendente,MATCH(B289,y.descendente,-1))</f>
        <v>#N/A</v>
      </c>
      <c r="V290" s="386" t="e">
        <f t="shared" ref="V290" si="159">FORECAST(B289,R290:S290,T290:U290)</f>
        <v>#N/A</v>
      </c>
    </row>
    <row r="291" spans="1:22" ht="12.75">
      <c r="B291" s="43" t="e">
        <f t="shared" ref="B291" si="160">B290</f>
        <v>#N/A</v>
      </c>
      <c r="C291" s="345"/>
      <c r="D291" s="345"/>
      <c r="E291" s="346"/>
      <c r="F291" s="346"/>
      <c r="G291" s="346"/>
      <c r="H291" s="346"/>
      <c r="I291" s="346"/>
      <c r="J291" s="346"/>
      <c r="K291" s="346"/>
      <c r="L291" s="346"/>
      <c r="M291" s="43" t="e">
        <f>B291</f>
        <v>#N/A</v>
      </c>
      <c r="O291" s="319"/>
      <c r="Q291" s="387"/>
      <c r="R291" s="388"/>
      <c r="S291" s="388"/>
      <c r="T291" s="388"/>
      <c r="U291" s="388"/>
      <c r="V291" s="386"/>
    </row>
    <row r="292" spans="1:22" ht="12.75">
      <c r="B292" s="43" t="e">
        <f>IF(B291&gt;xW,V292,#N/A)</f>
        <v>#N/A</v>
      </c>
      <c r="C292" s="345"/>
      <c r="D292" s="345"/>
      <c r="E292" s="346"/>
      <c r="F292" s="346"/>
      <c r="G292" s="346"/>
      <c r="H292" s="346"/>
      <c r="I292" s="346"/>
      <c r="J292" s="346"/>
      <c r="K292" s="346"/>
      <c r="L292" s="346"/>
      <c r="M292" s="43" t="e">
        <f>M291</f>
        <v>#N/A</v>
      </c>
      <c r="O292" s="319"/>
      <c r="Q292" s="384" t="e">
        <f t="shared" ref="Q292" si="161">B291</f>
        <v>#N/A</v>
      </c>
      <c r="R292" s="385" t="e">
        <f>INDEX(x.ascendente,MATCH(B291,y.ascendente,1))</f>
        <v>#N/A</v>
      </c>
      <c r="S292" s="385" t="e">
        <f>INDEX(x.descendente,MATCH(B291,y.descendente,-1))</f>
        <v>#N/A</v>
      </c>
      <c r="T292" s="385" t="e">
        <f>INDEX(y.ascendente,MATCH(B291,y.ascendente,1))</f>
        <v>#N/A</v>
      </c>
      <c r="U292" s="385" t="e">
        <f>INDEX(y.descendente,MATCH(B291,y.descendente,-1))</f>
        <v>#N/A</v>
      </c>
      <c r="V292" s="386" t="e">
        <f t="shared" ref="V292" si="162">FORECAST(B291,R292:S292,T292:U292)</f>
        <v>#N/A</v>
      </c>
    </row>
    <row r="293" spans="1:22" ht="12.75">
      <c r="B293" s="43" t="e">
        <f t="shared" ref="B293" si="163">B292</f>
        <v>#N/A</v>
      </c>
      <c r="C293" s="345"/>
      <c r="D293" s="345"/>
      <c r="E293" s="346"/>
      <c r="F293" s="346"/>
      <c r="G293" s="346"/>
      <c r="H293" s="346"/>
      <c r="I293" s="346"/>
      <c r="J293" s="346"/>
      <c r="K293" s="346"/>
      <c r="L293" s="346"/>
      <c r="M293" s="43" t="e">
        <f>B293</f>
        <v>#N/A</v>
      </c>
      <c r="O293" s="319"/>
      <c r="Q293" s="387"/>
      <c r="R293" s="388"/>
      <c r="S293" s="388"/>
      <c r="T293" s="388"/>
      <c r="U293" s="388"/>
      <c r="V293" s="386"/>
    </row>
    <row r="294" spans="1:22" ht="12.75">
      <c r="B294" s="43" t="e">
        <f>IF(B293&gt;xW,V294,#N/A)</f>
        <v>#N/A</v>
      </c>
      <c r="C294" s="345"/>
      <c r="D294" s="345"/>
      <c r="E294" s="346"/>
      <c r="F294" s="346"/>
      <c r="G294" s="346"/>
      <c r="H294" s="346"/>
      <c r="I294" s="346"/>
      <c r="J294" s="346"/>
      <c r="K294" s="346"/>
      <c r="L294" s="346"/>
      <c r="M294" s="43" t="e">
        <f>M293</f>
        <v>#N/A</v>
      </c>
      <c r="O294" s="319"/>
      <c r="Q294" s="384" t="e">
        <f t="shared" ref="Q294" si="164">B293</f>
        <v>#N/A</v>
      </c>
      <c r="R294" s="385" t="e">
        <f>INDEX(x.ascendente,MATCH(B293,y.ascendente,1))</f>
        <v>#N/A</v>
      </c>
      <c r="S294" s="385" t="e">
        <f>INDEX(x.descendente,MATCH(B293,y.descendente,-1))</f>
        <v>#N/A</v>
      </c>
      <c r="T294" s="385" t="e">
        <f>INDEX(y.ascendente,MATCH(B293,y.ascendente,1))</f>
        <v>#N/A</v>
      </c>
      <c r="U294" s="385" t="e">
        <f>INDEX(y.descendente,MATCH(B293,y.descendente,-1))</f>
        <v>#N/A</v>
      </c>
      <c r="V294" s="386" t="e">
        <f t="shared" ref="V294" si="165">FORECAST(B293,R294:S294,T294:U294)</f>
        <v>#N/A</v>
      </c>
    </row>
    <row r="295" spans="1:22" ht="12.75">
      <c r="B295" s="43" t="e">
        <f t="shared" ref="B295" si="166">B294</f>
        <v>#N/A</v>
      </c>
      <c r="C295" s="345"/>
      <c r="D295" s="345"/>
      <c r="E295" s="346"/>
      <c r="F295" s="346"/>
      <c r="G295" s="346"/>
      <c r="H295" s="346"/>
      <c r="I295" s="346"/>
      <c r="J295" s="346"/>
      <c r="K295" s="346"/>
      <c r="L295" s="346"/>
      <c r="M295" s="43" t="e">
        <f>B295</f>
        <v>#N/A</v>
      </c>
      <c r="O295" s="319"/>
      <c r="Q295" s="387"/>
      <c r="R295" s="388"/>
      <c r="S295" s="388"/>
      <c r="T295" s="388"/>
      <c r="U295" s="388"/>
      <c r="V295" s="386"/>
    </row>
    <row r="296" spans="1:22" ht="12.75">
      <c r="B296" s="43" t="e">
        <f>IF(B295&gt;xW,V296,#N/A)</f>
        <v>#N/A</v>
      </c>
      <c r="C296" s="345"/>
      <c r="D296" s="345"/>
      <c r="E296" s="346"/>
      <c r="F296" s="346"/>
      <c r="G296" s="346"/>
      <c r="H296" s="346"/>
      <c r="I296" s="346"/>
      <c r="J296" s="346"/>
      <c r="K296" s="346"/>
      <c r="L296" s="346"/>
      <c r="M296" s="43" t="e">
        <f>M295</f>
        <v>#N/A</v>
      </c>
      <c r="O296" s="319"/>
      <c r="Q296" s="384" t="e">
        <f t="shared" ref="Q296" si="167">B295</f>
        <v>#N/A</v>
      </c>
      <c r="R296" s="385" t="e">
        <f>INDEX(x.ascendente,MATCH(B295,y.ascendente,1))</f>
        <v>#N/A</v>
      </c>
      <c r="S296" s="385" t="e">
        <f>INDEX(x.descendente,MATCH(B295,y.descendente,-1))</f>
        <v>#N/A</v>
      </c>
      <c r="T296" s="385" t="e">
        <f>INDEX(y.ascendente,MATCH(B295,y.ascendente,1))</f>
        <v>#N/A</v>
      </c>
      <c r="U296" s="385" t="e">
        <f>INDEX(y.descendente,MATCH(B295,y.descendente,-1))</f>
        <v>#N/A</v>
      </c>
      <c r="V296" s="386" t="e">
        <f t="shared" ref="V296" si="168">FORECAST(B295,R296:S296,T296:U296)</f>
        <v>#N/A</v>
      </c>
    </row>
    <row r="297" spans="1:22" ht="12.75">
      <c r="B297" s="43" t="e">
        <f t="shared" ref="B297" si="169">B296</f>
        <v>#N/A</v>
      </c>
      <c r="C297" s="345"/>
      <c r="D297" s="345"/>
      <c r="E297" s="346"/>
      <c r="F297" s="346"/>
      <c r="G297" s="346"/>
      <c r="H297" s="346"/>
      <c r="I297" s="346"/>
      <c r="J297" s="346"/>
      <c r="K297" s="346"/>
      <c r="L297" s="346"/>
      <c r="M297" s="43" t="e">
        <f>B297</f>
        <v>#N/A</v>
      </c>
      <c r="O297" s="319"/>
      <c r="Q297" s="387"/>
      <c r="R297" s="388"/>
      <c r="S297" s="388"/>
      <c r="T297" s="388"/>
      <c r="U297" s="388"/>
      <c r="V297" s="386"/>
    </row>
    <row r="298" spans="1:22" ht="12.75">
      <c r="B298" s="43" t="e">
        <f>IF(B297&gt;xW,V298,#N/A)</f>
        <v>#N/A</v>
      </c>
      <c r="C298" s="345"/>
      <c r="D298" s="345"/>
      <c r="E298" s="346"/>
      <c r="F298" s="346"/>
      <c r="G298" s="346"/>
      <c r="H298" s="346"/>
      <c r="I298" s="346"/>
      <c r="J298" s="346"/>
      <c r="K298" s="346"/>
      <c r="L298" s="346"/>
      <c r="M298" s="43" t="e">
        <f>M297</f>
        <v>#N/A</v>
      </c>
      <c r="O298" s="319"/>
      <c r="Q298" s="384" t="e">
        <f t="shared" ref="Q298" si="170">B297</f>
        <v>#N/A</v>
      </c>
      <c r="R298" s="385" t="e">
        <f>INDEX(x.ascendente,MATCH(B297,y.ascendente,1))</f>
        <v>#N/A</v>
      </c>
      <c r="S298" s="385" t="e">
        <f>INDEX(x.descendente,MATCH(B297,y.descendente,-1))</f>
        <v>#N/A</v>
      </c>
      <c r="T298" s="385" t="e">
        <f>INDEX(y.ascendente,MATCH(B297,y.ascendente,1))</f>
        <v>#N/A</v>
      </c>
      <c r="U298" s="385" t="e">
        <f>INDEX(y.descendente,MATCH(B297,y.descendente,-1))</f>
        <v>#N/A</v>
      </c>
      <c r="V298" s="386" t="e">
        <f t="shared" ref="V298" si="171">FORECAST(B297,R298:S298,T298:U298)</f>
        <v>#N/A</v>
      </c>
    </row>
    <row r="299" spans="1:22" ht="13.5" thickBot="1">
      <c r="B299" s="43" t="e">
        <f t="shared" ref="B299" si="172">B298</f>
        <v>#N/A</v>
      </c>
      <c r="C299" s="347"/>
      <c r="D299" s="348"/>
      <c r="E299" s="349"/>
      <c r="F299" s="349"/>
      <c r="G299" s="349"/>
      <c r="H299" s="349"/>
      <c r="I299" s="349"/>
      <c r="J299" s="349"/>
      <c r="K299" s="349"/>
      <c r="L299" s="349"/>
      <c r="M299" s="321" t="e">
        <f>B299</f>
        <v>#N/A</v>
      </c>
      <c r="O299" s="319"/>
      <c r="P299" s="350" t="s">
        <v>279</v>
      </c>
      <c r="Q299" s="387"/>
      <c r="R299" s="388"/>
      <c r="S299" s="388"/>
      <c r="T299" s="388"/>
      <c r="U299" s="388"/>
      <c r="V299" s="386"/>
    </row>
    <row r="300" spans="1:22" ht="12.75">
      <c r="A300" s="351"/>
      <c r="B300" s="352" t="s">
        <v>336</v>
      </c>
      <c r="C300" s="353" t="str">
        <f>IF(Em.tipo="Em del vapor","y eq","x eq")</f>
        <v>x eq</v>
      </c>
      <c r="D300" s="354" t="str">
        <f>IF(Em.tipo="Em del vapor","y real","x real")</f>
        <v>x real</v>
      </c>
      <c r="E300" s="354"/>
      <c r="F300" s="354"/>
      <c r="G300" s="354"/>
      <c r="H300" s="354"/>
      <c r="I300" s="354"/>
      <c r="J300" s="354"/>
      <c r="K300" s="354"/>
      <c r="L300" s="354"/>
      <c r="M300" s="354"/>
      <c r="N300" s="354"/>
      <c r="O300" s="354"/>
      <c r="P300" s="381">
        <f ca="1">COUNTIF(P301:P398,"=1")</f>
        <v>7</v>
      </c>
      <c r="Q300" s="391" t="s">
        <v>339</v>
      </c>
      <c r="R300" s="392" t="s">
        <v>340</v>
      </c>
      <c r="S300" s="392" t="s">
        <v>341</v>
      </c>
      <c r="T300" s="393" t="s">
        <v>342</v>
      </c>
      <c r="U300" s="393" t="s">
        <v>343</v>
      </c>
      <c r="V300" s="394" t="s">
        <v>338</v>
      </c>
    </row>
    <row r="301" spans="1:22" ht="12.75">
      <c r="A301" s="355"/>
      <c r="B301" s="356">
        <f>IF(Em.tipo="Em del líquido",xD,IF(Em.tipo="Em del vapor",xW,IF(Em.tipo="Sin valor (usar Em=1)",xD)))</f>
        <v>0.9746107916224116</v>
      </c>
      <c r="C301" s="357">
        <f ca="1">IF(ISBLANK(Em),, COUNT(B302:B398)/2)</f>
        <v>13</v>
      </c>
      <c r="D301" s="358">
        <f>IF(Em.tipo="Em del líquido",Em.user,IF(Em.tipo="Em del vapor",Em.user,IF(Em.tipo="Sin valor (usar Em=1)",1)))</f>
        <v>1</v>
      </c>
      <c r="E301" s="359"/>
      <c r="F301" s="359"/>
      <c r="G301" s="359"/>
      <c r="H301" s="359"/>
      <c r="I301" s="359"/>
      <c r="J301" s="359"/>
      <c r="K301" s="359"/>
      <c r="L301" s="359"/>
      <c r="M301" s="359"/>
      <c r="N301" s="47">
        <f>IF(Em.tipo="Em del líquido",xD,IF(Em.tipo="Em del vapor",IF(TipoDest="Vapor vivo",0,xW),IF(Em.tipo="Sin valor (usar Em=1)",xD)))</f>
        <v>0.9746107916224116</v>
      </c>
      <c r="O301" s="46"/>
      <c r="P301" s="382"/>
      <c r="Q301" s="387"/>
      <c r="R301" s="388"/>
      <c r="S301" s="388"/>
      <c r="T301" s="388"/>
      <c r="U301" s="388"/>
      <c r="V301" s="386"/>
    </row>
    <row r="302" spans="1:22" ht="12.75">
      <c r="A302" s="355"/>
      <c r="B302" s="43">
        <f ca="1">IF(Em.tipo="Em del vapor",IF(N301&lt;xD, B301,#N/A), IF(B301&gt;xW,D302,#N/A))</f>
        <v>0.94728731473893246</v>
      </c>
      <c r="C302" s="341">
        <f ca="1">IF(ISBLANK(N301),#N/A,IF(Em.tipo="Em del vapor",m10y*B301^10+m9y*B301^9+m8y*B301^8+m7y*B301^7+m6y*B301^6+m5y*B301^5+m4y*B301^4+m3y*B301^3+m2y*B301^2+m1y*B301^1+mby,V302))</f>
        <v>0.94728731473893246</v>
      </c>
      <c r="D302" s="341">
        <f ca="1">IF(ISBLANK(C302),#N/A,IF(Em.tipo="Em del vapor",(C302-N301)*Em+N301,(C302-B301)*Em+B301))</f>
        <v>0.94728731473893246</v>
      </c>
      <c r="E302" s="346"/>
      <c r="F302" s="346"/>
      <c r="G302" s="346"/>
      <c r="H302" s="346"/>
      <c r="I302" s="346"/>
      <c r="J302" s="346"/>
      <c r="K302" s="346"/>
      <c r="L302" s="346"/>
      <c r="M302" s="346"/>
      <c r="N302" s="43">
        <f>IF(Em.tipo="Em del vapor",IF(N301&lt;xD, D302,#N/A), IF(B301&gt;xW,N301,#N/A))</f>
        <v>0.9746107916224116</v>
      </c>
      <c r="O302" s="46"/>
      <c r="P302" s="382">
        <f ca="1">IF(AND(xW&lt;=B302,B302&lt;xD),IF(Em.tipo="Em del vapor",IF(D302&lt;Ago.yq,0,1),IF(B301&gt;Ago.xq,1,0)),)</f>
        <v>1</v>
      </c>
      <c r="Q302" s="387">
        <f>N301</f>
        <v>0.9746107916224116</v>
      </c>
      <c r="R302" s="388">
        <f ca="1">INDEX(x.ascendente,MATCH(Q302,y.ascendente,1))</f>
        <v>0.92500000000000004</v>
      </c>
      <c r="S302" s="388">
        <f ca="1">INDEX(x.descendente,MATCH(Q302,y.descendente,-1))</f>
        <v>0.95</v>
      </c>
      <c r="T302" s="388">
        <f ca="1">INDEX(y.ascendente,MATCH(Q302,y.ascendente,1))</f>
        <v>0.96365726211764446</v>
      </c>
      <c r="U302" s="388">
        <f ca="1">INDEX(y.descendente,MATCH(Q302,y.descendente,-1))</f>
        <v>0.975943992970008</v>
      </c>
      <c r="V302" s="386">
        <f ca="1">FORECAST(Q302,R302:S302,T302:U302)</f>
        <v>0.94728731473893246</v>
      </c>
    </row>
    <row r="303" spans="1:22" ht="12.75">
      <c r="A303" s="355"/>
      <c r="B303" s="43">
        <f ca="1">IF(IFERROR(N302,#N/A),IF(Em.tipo="Em del vapor",IF(D302&lt;Ago.yq,(D302-Ago.b)/Ago.m,(D302-En.b)/En.m),D302))</f>
        <v>0.94728731473893246</v>
      </c>
      <c r="C303" s="341"/>
      <c r="D303" s="341"/>
      <c r="E303" s="346"/>
      <c r="F303" s="346"/>
      <c r="G303" s="346"/>
      <c r="H303" s="346"/>
      <c r="I303" s="346"/>
      <c r="J303" s="346"/>
      <c r="K303" s="346"/>
      <c r="L303" s="346"/>
      <c r="M303" s="346"/>
      <c r="N303" s="44">
        <f ca="1">IF(Em.tipo="Em del vapor",IF(N301&lt;xD, D302,#N/A),IF(B301&gt;xW,IF(D302&gt;Ago.xq,En.m*D302+En.b,Ago.m*D302+Ago.b),#N/A))</f>
        <v>0.95672740821176061</v>
      </c>
      <c r="O303" s="46"/>
      <c r="P303" s="382"/>
      <c r="Q303" s="387"/>
      <c r="R303" s="388"/>
      <c r="S303" s="388"/>
      <c r="T303" s="388"/>
      <c r="U303" s="388"/>
      <c r="V303" s="386"/>
    </row>
    <row r="304" spans="1:22" ht="12.75">
      <c r="A304" s="355"/>
      <c r="B304" s="43">
        <f ca="1">IF(Em.tipo="Em del vapor",IF(N303&lt;xD, B303,#N/A), IF(B303&gt;xW,D304,#N/A))</f>
        <v>0.91103019605649127</v>
      </c>
      <c r="C304" s="341">
        <f ca="1">IF(ISBLANK(N303),#N/A,IF(Em.tipo="Em del vapor",m10y*B303^10+m9y*B303^9+m8y*B303^8+m7y*B303^7+m6y*B303^6+m5y*B303^5+m4y*B303^4+m3y*B303^3+m2y*B303^2+m1y*B303^1+mby,V304))</f>
        <v>0.91103019605649127</v>
      </c>
      <c r="D304" s="341">
        <f ca="1">IF(ISBLANK(C304),,IF(Em.tipo="Em del vapor",(C304-N303)*Em+N303,(C304-B303)*Em+B303))</f>
        <v>0.91103019605649127</v>
      </c>
      <c r="E304" s="346"/>
      <c r="F304" s="346"/>
      <c r="G304" s="346"/>
      <c r="H304" s="346"/>
      <c r="I304" s="346"/>
      <c r="J304" s="346"/>
      <c r="K304" s="346"/>
      <c r="L304" s="346"/>
      <c r="M304" s="346"/>
      <c r="N304" s="43">
        <f ca="1">IF(Em.tipo="Em del vapor",IF(N303&lt;xD, D304,#N/A), IF(B303&gt;xW,N303,#N/A))</f>
        <v>0.95672740821176061</v>
      </c>
      <c r="O304" s="46"/>
      <c r="P304" s="382">
        <f ca="1">IF(AND(xW&lt;=B304,B304&lt;xD),IF(Em.tipo="Em del vapor",IF(D304&lt;Ago.yq,0,1),IF(B303&gt;Ago.xq,1,0)),)</f>
        <v>1</v>
      </c>
      <c r="Q304" s="387">
        <f t="shared" ref="Q304" ca="1" si="173">N303</f>
        <v>0.95672740821176061</v>
      </c>
      <c r="R304" s="388">
        <f ca="1">INDEX(x.ascendente,MATCH(Q304,y.ascendente,1))</f>
        <v>0.9</v>
      </c>
      <c r="S304" s="388">
        <f ca="1">INDEX(x.descendente,MATCH(Q304,y.descendente,-1))</f>
        <v>0.92500000000000004</v>
      </c>
      <c r="T304" s="388">
        <f ca="1">INDEX(y.ascendente,MATCH(Q304,y.ascendente,1))</f>
        <v>0.9512557747132635</v>
      </c>
      <c r="U304" s="388">
        <f ca="1">INDEX(y.descendente,MATCH(Q304,y.descendente,-1))</f>
        <v>0.96365726211764446</v>
      </c>
      <c r="V304" s="386">
        <f t="shared" ref="V304" ca="1" si="174">FORECAST(Q304,R304:S304,T304:U304)</f>
        <v>0.91103019605649127</v>
      </c>
    </row>
    <row r="305" spans="1:22" ht="12.75">
      <c r="A305" s="355"/>
      <c r="B305" s="43">
        <f ca="1">IF(IFERROR(N304,#N/A),IF(Em.tipo="Em del vapor",IF(D304&lt;Ago.yq,(D304-Ago.b)/Ago.m,(D304-En.b)/En.m),D304))</f>
        <v>0.91103019605649127</v>
      </c>
      <c r="C305" s="341"/>
      <c r="D305" s="341"/>
      <c r="E305" s="346"/>
      <c r="F305" s="346"/>
      <c r="G305" s="346"/>
      <c r="H305" s="346"/>
      <c r="I305" s="346"/>
      <c r="J305" s="346"/>
      <c r="K305" s="346"/>
      <c r="L305" s="346"/>
      <c r="M305" s="346"/>
      <c r="N305" s="44">
        <f ca="1">IF(Em.tipo="Em del vapor",IF(N303&lt;xD, D304,#N/A),IF(B303&gt;xW,IF(D304&gt;Ago.xq,En.m*D304+En.b,Ago.m*D304+Ago.b),#N/A))</f>
        <v>0.93299690138319447</v>
      </c>
      <c r="O305" s="46"/>
      <c r="P305" s="382"/>
      <c r="Q305" s="387"/>
      <c r="R305" s="388"/>
      <c r="S305" s="388"/>
      <c r="T305" s="388"/>
      <c r="U305" s="388"/>
      <c r="V305" s="386"/>
    </row>
    <row r="306" spans="1:22" ht="12.75">
      <c r="A306" s="355"/>
      <c r="B306" s="43">
        <f ca="1">IF(Em.tipo="Em del vapor",IF(N305&lt;xD, B305,#N/A), IF(B305&gt;xW,D306,#N/A))</f>
        <v>0.8635772635875294</v>
      </c>
      <c r="C306" s="341">
        <f ca="1">IF(ISBLANK(N305),#N/A,IF(Em.tipo="Em del vapor",m10y*B305^10+m9y*B305^9+m8y*B305^8+m7y*B305^7+m6y*B305^6+m5y*B305^5+m4y*B305^4+m3y*B305^3+m2y*B305^2+m1y*B305^1+mby,V306))</f>
        <v>0.8635772635875294</v>
      </c>
      <c r="D306" s="341">
        <f ca="1">IF(ISBLANK(C306),,IF(Em.tipo="Em del vapor",(C306-N305)*Em+N305,(C306-B305)*Em+B305))</f>
        <v>0.8635772635875294</v>
      </c>
      <c r="E306" s="346"/>
      <c r="F306" s="346"/>
      <c r="G306" s="346"/>
      <c r="H306" s="346"/>
      <c r="I306" s="346"/>
      <c r="J306" s="346"/>
      <c r="K306" s="346"/>
      <c r="L306" s="346"/>
      <c r="M306" s="346"/>
      <c r="N306" s="43">
        <f ca="1">IF(Em.tipo="Em del vapor",IF(N305&lt;xD, D306,#N/A), IF(B305&gt;xW,N305,#N/A))</f>
        <v>0.93299690138319447</v>
      </c>
      <c r="O306" s="46"/>
      <c r="P306" s="382">
        <f ca="1">IF(AND(xW&lt;=B306,B306&lt;xD),IF(Em.tipo="Em del vapor",IF(D306&lt;Ago.yq,0,1),IF(B305&gt;Ago.xq,1,0)),)</f>
        <v>1</v>
      </c>
      <c r="Q306" s="387">
        <f t="shared" ref="Q306" ca="1" si="175">N305</f>
        <v>0.93299690138319447</v>
      </c>
      <c r="R306" s="388">
        <f ca="1">INDEX(x.ascendente,MATCH(Q306,y.ascendente,1))</f>
        <v>0.85</v>
      </c>
      <c r="S306" s="388">
        <f ca="1">INDEX(x.descendente,MATCH(Q306,y.descendente,-1))</f>
        <v>0.875</v>
      </c>
      <c r="T306" s="388">
        <f ca="1">INDEX(y.ascendente,MATCH(Q306,y.ascendente,1))</f>
        <v>0.92615481245558318</v>
      </c>
      <c r="U306" s="388">
        <f ca="1">INDEX(y.descendente,MATCH(Q306,y.descendente,-1))</f>
        <v>0.93875324380277991</v>
      </c>
      <c r="V306" s="386">
        <f t="shared" ref="V306" ca="1" si="176">FORECAST(Q306,R306:S306,T306:U306)</f>
        <v>0.8635772635875294</v>
      </c>
    </row>
    <row r="307" spans="1:22" ht="12.75">
      <c r="A307" s="355"/>
      <c r="B307" s="43">
        <f ca="1">IF(IFERROR(N306,#N/A),IF(Em.tipo="Em del vapor",IF(D306&lt;Ago.yq,(D306-Ago.b)/Ago.m,(D306-En.b)/En.m),D306))</f>
        <v>0.8635772635875294</v>
      </c>
      <c r="C307" s="341"/>
      <c r="D307" s="341"/>
      <c r="E307" s="346"/>
      <c r="F307" s="346"/>
      <c r="G307" s="346"/>
      <c r="H307" s="346"/>
      <c r="I307" s="346"/>
      <c r="J307" s="346"/>
      <c r="K307" s="346"/>
      <c r="L307" s="346"/>
      <c r="M307" s="346"/>
      <c r="N307" s="44">
        <f ca="1">IF(Em.tipo="Em del vapor",IF(N305&lt;xD, D306,#N/A),IF(B305&gt;xW,IF(D306&gt;Ago.xq,En.m*D306+En.b,Ago.m*D306+Ago.b),#N/A))</f>
        <v>0.90193866567911107</v>
      </c>
      <c r="O307" s="46"/>
      <c r="P307" s="382"/>
      <c r="Q307" s="387"/>
      <c r="R307" s="388"/>
      <c r="S307" s="388"/>
      <c r="T307" s="388"/>
      <c r="U307" s="388"/>
      <c r="V307" s="386"/>
    </row>
    <row r="308" spans="1:22" ht="12.75">
      <c r="A308" s="355"/>
      <c r="B308" s="43">
        <f ca="1">IF(Em.tipo="Em del vapor",IF(N307&lt;xD, B307,#N/A), IF(B307&gt;xW,D308,#N/A))</f>
        <v>0.8024745904675239</v>
      </c>
      <c r="C308" s="341">
        <f ca="1">IF(ISBLANK(N307),#N/A,IF(Em.tipo="Em del vapor",m10y*B307^10+m9y*B307^9+m8y*B307^8+m7y*B307^7+m6y*B307^6+m5y*B307^5+m4y*B307^4+m3y*B307^3+m2y*B307^2+m1y*B307^1+mby,V308))</f>
        <v>0.8024745904675239</v>
      </c>
      <c r="D308" s="341">
        <f ca="1">IF(ISBLANK(C308),,IF(Em.tipo="Em del vapor",(C308-N307)*Em+N307,(C308-B307)*Em+B307))</f>
        <v>0.8024745904675239</v>
      </c>
      <c r="E308" s="346"/>
      <c r="F308" s="346"/>
      <c r="G308" s="346"/>
      <c r="H308" s="346"/>
      <c r="I308" s="346"/>
      <c r="J308" s="346"/>
      <c r="K308" s="346"/>
      <c r="L308" s="346"/>
      <c r="M308" s="346"/>
      <c r="N308" s="43">
        <f ca="1">IF(Em.tipo="Em del vapor",IF(N307&lt;xD, D308,#N/A), IF(B307&gt;xW,N307,#N/A))</f>
        <v>0.90193866567911107</v>
      </c>
      <c r="O308" s="46"/>
      <c r="P308" s="382">
        <f ca="1">IF(AND(xW&lt;=B308,B308&lt;xD),IF(Em.tipo="Em del vapor",IF(D308&lt;Ago.yq,0,1),IF(B307&gt;Ago.xq,1,0)),)</f>
        <v>1</v>
      </c>
      <c r="Q308" s="387">
        <f t="shared" ref="Q308" ca="1" si="177">N307</f>
        <v>0.90193866567911107</v>
      </c>
      <c r="R308" s="388">
        <f ca="1">INDEX(x.ascendente,MATCH(Q308,y.ascendente,1))</f>
        <v>0.8</v>
      </c>
      <c r="S308" s="388">
        <f ca="1">INDEX(x.descendente,MATCH(Q308,y.descendente,-1))</f>
        <v>0.82499999999999996</v>
      </c>
      <c r="T308" s="388">
        <f ca="1">INDEX(y.ascendente,MATCH(Q308,y.ascendente,1))</f>
        <v>0.90067271941649718</v>
      </c>
      <c r="U308" s="388">
        <f ca="1">INDEX(y.descendente,MATCH(Q308,y.descendente,-1))</f>
        <v>0.91346217164331955</v>
      </c>
      <c r="V308" s="386">
        <f t="shared" ref="V308" ca="1" si="178">FORECAST(Q308,R308:S308,T308:U308)</f>
        <v>0.8024745904675239</v>
      </c>
    </row>
    <row r="309" spans="1:22" ht="12.75">
      <c r="A309" s="355"/>
      <c r="B309" s="43">
        <f ca="1">IF(IFERROR(N308,#N/A),IF(Em.tipo="Em del vapor",IF(D308&lt;Ago.yq,(D308-Ago.b)/Ago.m,(D308-En.b)/En.m),D308))</f>
        <v>0.8024745904675239</v>
      </c>
      <c r="C309" s="341"/>
      <c r="D309" s="341"/>
      <c r="E309" s="346"/>
      <c r="F309" s="346"/>
      <c r="G309" s="346"/>
      <c r="H309" s="346"/>
      <c r="I309" s="346"/>
      <c r="J309" s="346"/>
      <c r="K309" s="346"/>
      <c r="L309" s="346"/>
      <c r="M309" s="346"/>
      <c r="N309" s="44">
        <f ca="1">IF(Em.tipo="Em del vapor",IF(N307&lt;xD, D308,#N/A),IF(B307&gt;xW,IF(D308&gt;Ago.xq,En.m*D308+En.b,Ago.m*D308+Ago.b),#N/A))</f>
        <v>0.86194659089738968</v>
      </c>
      <c r="O309" s="46"/>
      <c r="P309" s="382"/>
      <c r="Q309" s="387"/>
      <c r="R309" s="388"/>
      <c r="S309" s="388"/>
      <c r="T309" s="388"/>
      <c r="U309" s="388"/>
      <c r="V309" s="386"/>
    </row>
    <row r="310" spans="1:22" ht="12.75">
      <c r="A310" s="355"/>
      <c r="B310" s="43">
        <f ca="1">IF(Em.tipo="Em del vapor",IF(N309&lt;xD, B309,#N/A), IF(B309&gt;xW,D310,#N/A))</f>
        <v>0.72574348745157446</v>
      </c>
      <c r="C310" s="341">
        <f ca="1">IF(ISBLANK(N309),#N/A,IF(Em.tipo="Em del vapor",m10y*B309^10+m9y*B309^9+m8y*B309^8+m7y*B309^7+m6y*B309^6+m5y*B309^5+m4y*B309^4+m3y*B309^3+m2y*B309^2+m1y*B309^1+mby,V310))</f>
        <v>0.72574348745157446</v>
      </c>
      <c r="D310" s="341">
        <f ca="1">IF(ISBLANK(C310),,IF(Em.tipo="Em del vapor",(C310-N309)*Em+N309,(C310-B309)*Em+B309))</f>
        <v>0.72574348745157446</v>
      </c>
      <c r="E310" s="346"/>
      <c r="F310" s="346"/>
      <c r="G310" s="346"/>
      <c r="H310" s="346"/>
      <c r="I310" s="346"/>
      <c r="J310" s="346"/>
      <c r="K310" s="346"/>
      <c r="L310" s="346"/>
      <c r="M310" s="346"/>
      <c r="N310" s="43">
        <f ca="1">IF(Em.tipo="Em del vapor",IF(N309&lt;xD, D310,#N/A), IF(B309&gt;xW,N309,#N/A))</f>
        <v>0.86194659089738968</v>
      </c>
      <c r="O310" s="46"/>
      <c r="P310" s="382">
        <f ca="1">IF(AND(xW&lt;=B310,B310&lt;xD),IF(Em.tipo="Em del vapor",IF(D310&lt;Ago.yq,0,1),IF(B309&gt;Ago.xq,1,0)),)</f>
        <v>1</v>
      </c>
      <c r="Q310" s="387">
        <f t="shared" ref="Q310" ca="1" si="179">N309</f>
        <v>0.86194659089738968</v>
      </c>
      <c r="R310" s="388">
        <f ca="1">INDEX(x.ascendente,MATCH(Q310,y.ascendente,1))</f>
        <v>0.72499999999999998</v>
      </c>
      <c r="S310" s="388">
        <f ca="1">INDEX(x.descendente,MATCH(Q310,y.descendente,-1))</f>
        <v>0.75</v>
      </c>
      <c r="T310" s="388">
        <f ca="1">INDEX(y.ascendente,MATCH(Q310,y.ascendente,1))</f>
        <v>0.86155418113221671</v>
      </c>
      <c r="U310" s="388">
        <f ca="1">INDEX(y.descendente,MATCH(Q310,y.descendente,-1))</f>
        <v>0.87474908322310041</v>
      </c>
      <c r="V310" s="386">
        <f t="shared" ref="V310" ca="1" si="180">FORECAST(Q310,R310:S310,T310:U310)</f>
        <v>0.72574348745157446</v>
      </c>
    </row>
    <row r="311" spans="1:22" ht="12.75">
      <c r="A311" s="355"/>
      <c r="B311" s="43">
        <f ca="1">IF(IFERROR(N310,#N/A),IF(Em.tipo="Em del vapor",IF(D310&lt;Ago.yq,(D310-Ago.b)/Ago.m,(D310-En.b)/En.m),D310))</f>
        <v>0.72574348745157446</v>
      </c>
      <c r="C311" s="341"/>
      <c r="D311" s="341"/>
      <c r="E311" s="346"/>
      <c r="F311" s="346"/>
      <c r="G311" s="346"/>
      <c r="H311" s="346"/>
      <c r="I311" s="346"/>
      <c r="J311" s="346"/>
      <c r="K311" s="346"/>
      <c r="L311" s="346"/>
      <c r="M311" s="346"/>
      <c r="N311" s="44">
        <f ca="1">IF(Em.tipo="Em del vapor",IF(N309&lt;xD, D310,#N/A),IF(B309&gt;xW,IF(D310&gt;Ago.xq,En.m*D310+En.b,Ago.m*D310+Ago.b),#N/A))</f>
        <v>0.81172561277633393</v>
      </c>
      <c r="O311" s="46"/>
      <c r="P311" s="382"/>
      <c r="Q311" s="387"/>
      <c r="R311" s="388"/>
      <c r="S311" s="388"/>
      <c r="T311" s="388"/>
      <c r="U311" s="388"/>
      <c r="V311" s="386"/>
    </row>
    <row r="312" spans="1:22" ht="12.75">
      <c r="A312" s="355"/>
      <c r="B312" s="43">
        <f ca="1">IF(Em.tipo="Em del vapor",IF(N311&lt;xD, B311,#N/A), IF(B311&gt;xW,D312,#N/A))</f>
        <v>0.63521761421938039</v>
      </c>
      <c r="C312" s="341">
        <f ca="1">IF(ISBLANK(N311),#N/A,IF(Em.tipo="Em del vapor",m10y*B311^10+m9y*B311^9+m8y*B311^8+m7y*B311^7+m6y*B311^6+m5y*B311^5+m4y*B311^4+m3y*B311^3+m2y*B311^2+m1y*B311^1+mby,V312))</f>
        <v>0.63521761421938039</v>
      </c>
      <c r="D312" s="341">
        <f ca="1">IF(ISBLANK(C312),,IF(Em.tipo="Em del vapor",(C312-N311)*Em+N311,(C312-B311)*Em+B311))</f>
        <v>0.63521761421938039</v>
      </c>
      <c r="E312" s="346"/>
      <c r="F312" s="346"/>
      <c r="G312" s="346"/>
      <c r="H312" s="346"/>
      <c r="I312" s="346"/>
      <c r="J312" s="346"/>
      <c r="K312" s="346"/>
      <c r="L312" s="346"/>
      <c r="M312" s="346"/>
      <c r="N312" s="43">
        <f ca="1">IF(Em.tipo="Em del vapor",IF(N311&lt;xD, D312,#N/A), IF(B311&gt;xW,N311,#N/A))</f>
        <v>0.81172561277633393</v>
      </c>
      <c r="O312" s="46"/>
      <c r="P312" s="382">
        <f ca="1">IF(AND(xW&lt;=B312,B312&lt;xD),IF(Em.tipo="Em del vapor",IF(D312&lt;Ago.yq,0,1),IF(B311&gt;Ago.xq,1,0)),)</f>
        <v>1</v>
      </c>
      <c r="Q312" s="387">
        <f t="shared" ref="Q312" ca="1" si="181">N311</f>
        <v>0.81172561277633393</v>
      </c>
      <c r="R312" s="388">
        <f ca="1">INDEX(x.ascendente,MATCH(Q312,y.ascendente,1))</f>
        <v>0.625</v>
      </c>
      <c r="S312" s="388">
        <f ca="1">INDEX(x.descendente,MATCH(Q312,y.descendente,-1))</f>
        <v>0.65</v>
      </c>
      <c r="T312" s="388">
        <f ca="1">INDEX(y.ascendente,MATCH(Q312,y.ascendente,1))</f>
        <v>0.80577469459736373</v>
      </c>
      <c r="U312" s="388">
        <f ca="1">INDEX(y.descendente,MATCH(Q312,y.descendente,-1))</f>
        <v>0.82033513417552539</v>
      </c>
      <c r="V312" s="386">
        <f t="shared" ref="V312" ca="1" si="182">FORECAST(Q312,R312:S312,T312:U312)</f>
        <v>0.63521761421938039</v>
      </c>
    </row>
    <row r="313" spans="1:22" ht="12.75">
      <c r="A313" s="355"/>
      <c r="B313" s="43">
        <f ca="1">IF(IFERROR(N312,#N/A),IF(Em.tipo="Em del vapor",IF(D312&lt;Ago.yq,(D312-Ago.b)/Ago.m,(D312-En.b)/En.m),D312))</f>
        <v>0.63521761421938039</v>
      </c>
      <c r="C313" s="341"/>
      <c r="D313" s="341"/>
      <c r="E313" s="346"/>
      <c r="F313" s="346"/>
      <c r="G313" s="346"/>
      <c r="H313" s="346"/>
      <c r="I313" s="346"/>
      <c r="J313" s="346"/>
      <c r="K313" s="346"/>
      <c r="L313" s="346"/>
      <c r="M313" s="346"/>
      <c r="N313" s="44">
        <f ca="1">IF(Em.tipo="Em del vapor",IF(N311&lt;xD, D312,#N/A),IF(B311&gt;xW,IF(D312&gt;Ago.xq,En.m*D312+En.b,Ago.m*D312+Ago.b),#N/A))</f>
        <v>0.752475872836606</v>
      </c>
      <c r="O313" s="46"/>
      <c r="P313" s="382"/>
      <c r="Q313" s="387"/>
      <c r="R313" s="388"/>
      <c r="S313" s="388"/>
      <c r="T313" s="388"/>
      <c r="U313" s="388"/>
      <c r="V313" s="386"/>
    </row>
    <row r="314" spans="1:22" ht="12.75">
      <c r="A314" s="355"/>
      <c r="B314" s="43">
        <f ca="1">IF(Em.tipo="Em del vapor",IF(N313&lt;xD, B313,#N/A), IF(B313&gt;xW,D314,#N/A))</f>
        <v>0.54156448229684706</v>
      </c>
      <c r="C314" s="341">
        <f ca="1">IF(ISBLANK(N313),#N/A,IF(Em.tipo="Em del vapor",m10y*B313^10+m9y*B313^9+m8y*B313^8+m7y*B313^7+m6y*B313^6+m5y*B313^5+m4y*B313^4+m3y*B313^3+m2y*B313^2+m1y*B313^1+mby,V314))</f>
        <v>0.54156448229684706</v>
      </c>
      <c r="D314" s="341">
        <f ca="1">IF(ISBLANK(C314),,IF(Em.tipo="Em del vapor",(C314-N313)*Em+N313,(C314-B313)*Em+B313))</f>
        <v>0.54156448229684706</v>
      </c>
      <c r="E314" s="346"/>
      <c r="F314" s="346"/>
      <c r="G314" s="346"/>
      <c r="H314" s="346"/>
      <c r="I314" s="346"/>
      <c r="J314" s="346"/>
      <c r="K314" s="346"/>
      <c r="L314" s="346"/>
      <c r="M314" s="346"/>
      <c r="N314" s="43">
        <f ca="1">IF(Em.tipo="Em del vapor",IF(N313&lt;xD, D314,#N/A), IF(B313&gt;xW,N313,#N/A))</f>
        <v>0.752475872836606</v>
      </c>
      <c r="O314" s="46"/>
      <c r="P314" s="382">
        <f ca="1">IF(AND(xW&lt;=B314,B314&lt;xD),IF(Em.tipo="Em del vapor",IF(D314&lt;Ago.yq,0,1),IF(B313&gt;Ago.xq,1,0)),)</f>
        <v>1</v>
      </c>
      <c r="Q314" s="387">
        <f t="shared" ref="Q314" ca="1" si="183">N313</f>
        <v>0.752475872836606</v>
      </c>
      <c r="R314" s="388">
        <f ca="1">INDEX(x.ascendente,MATCH(Q314,y.ascendente,1))</f>
        <v>0.52500000000000002</v>
      </c>
      <c r="S314" s="388">
        <f ca="1">INDEX(x.descendente,MATCH(Q314,y.descendente,-1))</f>
        <v>0.55000000000000004</v>
      </c>
      <c r="T314" s="388">
        <f ca="1">INDEX(y.ascendente,MATCH(Q314,y.ascendente,1))</f>
        <v>0.74098208782108022</v>
      </c>
      <c r="U314" s="388">
        <f ca="1">INDEX(y.descendente,MATCH(Q314,y.descendente,-1))</f>
        <v>0.75832912108410233</v>
      </c>
      <c r="V314" s="386">
        <f t="shared" ref="V314" ca="1" si="184">FORECAST(Q314,R314:S314,T314:U314)</f>
        <v>0.54156448229684706</v>
      </c>
    </row>
    <row r="315" spans="1:22" ht="12.75">
      <c r="A315" s="355"/>
      <c r="B315" s="43">
        <f ca="1">IF(IFERROR(N314,#N/A),IF(Em.tipo="Em del vapor",IF(D314&lt;Ago.yq,(D314-Ago.b)/Ago.m,(D314-En.b)/En.m),D314))</f>
        <v>0.54156448229684706</v>
      </c>
      <c r="C315" s="341"/>
      <c r="D315" s="341"/>
      <c r="E315" s="346"/>
      <c r="F315" s="346"/>
      <c r="G315" s="346"/>
      <c r="H315" s="346"/>
      <c r="I315" s="346"/>
      <c r="J315" s="346"/>
      <c r="K315" s="346"/>
      <c r="L315" s="346"/>
      <c r="M315" s="346"/>
      <c r="N315" s="44">
        <f ca="1">IF(Em.tipo="Em del vapor",IF(N313&lt;xD, D314,#N/A),IF(B313&gt;xW,IF(D314&gt;Ago.xq,En.m*D314+En.b,Ago.m*D314+Ago.b),#N/A))</f>
        <v>0.64200797079282168</v>
      </c>
      <c r="O315" s="46"/>
      <c r="P315" s="382"/>
      <c r="Q315" s="387"/>
      <c r="R315" s="388"/>
      <c r="S315" s="388"/>
      <c r="T315" s="388"/>
      <c r="U315" s="388"/>
      <c r="V315" s="386"/>
    </row>
    <row r="316" spans="1:22" ht="12.75">
      <c r="A316" s="355"/>
      <c r="B316" s="43">
        <f ca="1">IF(Em.tipo="Em del vapor",IF(N315&lt;xD, B315,#N/A), IF(B315&gt;xW,D316,#N/A))</f>
        <v>0.40167641747876415</v>
      </c>
      <c r="C316" s="341">
        <f ca="1">IF(ISBLANK(N315),#N/A,IF(Em.tipo="Em del vapor",m10y*B315^10+m9y*B315^9+m8y*B315^8+m7y*B315^7+m6y*B315^6+m5y*B315^5+m4y*B315^4+m3y*B315^3+m2y*B315^2+m1y*B315^1+mby,V316))</f>
        <v>0.40167641747876415</v>
      </c>
      <c r="D316" s="341">
        <f ca="1">IF(ISBLANK(C316),,IF(Em.tipo="Em del vapor",(C316-N315)*Em+N315,(C316-B315)*Em+B315))</f>
        <v>0.40167641747876415</v>
      </c>
      <c r="E316" s="346"/>
      <c r="F316" s="346"/>
      <c r="G316" s="346"/>
      <c r="H316" s="346"/>
      <c r="I316" s="346"/>
      <c r="J316" s="346"/>
      <c r="K316" s="346"/>
      <c r="L316" s="346"/>
      <c r="M316" s="346"/>
      <c r="N316" s="43">
        <f ca="1">IF(Em.tipo="Em del vapor",IF(N315&lt;xD, D316,#N/A), IF(B315&gt;xW,N315,#N/A))</f>
        <v>0.64200797079282168</v>
      </c>
      <c r="O316" s="46"/>
      <c r="P316" s="382">
        <f ca="1">IF(AND(xW&lt;=B316,B316&lt;xD),IF(Em.tipo="Em del vapor",IF(D316&lt;Ago.yq,0,1),IF(B315&gt;Ago.xq,1,0)),)</f>
        <v>0</v>
      </c>
      <c r="Q316" s="387">
        <f t="shared" ref="Q316" ca="1" si="185">N315</f>
        <v>0.64200797079282168</v>
      </c>
      <c r="R316" s="388">
        <f ca="1">INDEX(x.ascendente,MATCH(Q316,y.ascendente,1))</f>
        <v>0.4</v>
      </c>
      <c r="S316" s="388">
        <f ca="1">INDEX(x.descendente,MATCH(Q316,y.descendente,-1))</f>
        <v>0.42499999999999999</v>
      </c>
      <c r="T316" s="388">
        <f ca="1">INDEX(y.ascendente,MATCH(Q316,y.ascendente,1))</f>
        <v>0.64053238871802509</v>
      </c>
      <c r="U316" s="388">
        <f ca="1">INDEX(y.descendente,MATCH(Q316,y.descendente,-1))</f>
        <v>0.66253737991932904</v>
      </c>
      <c r="V316" s="386">
        <f t="shared" ref="V316" ca="1" si="186">FORECAST(Q316,R316:S316,T316:U316)</f>
        <v>0.40167641747876415</v>
      </c>
    </row>
    <row r="317" spans="1:22" ht="12.75">
      <c r="A317" s="355"/>
      <c r="B317" s="43">
        <f ca="1">IF(IFERROR(N316,#N/A),IF(Em.tipo="Em del vapor",IF(D316&lt;Ago.yq,(D316-Ago.b)/Ago.m,(D316-En.b)/En.m),D316))</f>
        <v>0.40167641747876415</v>
      </c>
      <c r="C317" s="341"/>
      <c r="D317" s="341"/>
      <c r="E317" s="346"/>
      <c r="F317" s="346"/>
      <c r="G317" s="346"/>
      <c r="H317" s="346"/>
      <c r="I317" s="346"/>
      <c r="J317" s="346"/>
      <c r="K317" s="346"/>
      <c r="L317" s="346"/>
      <c r="M317" s="346"/>
      <c r="N317" s="44">
        <f ca="1">IF(Em.tipo="Em del vapor",IF(N315&lt;xD, D316,#N/A),IF(B315&gt;xW,IF(D316&gt;Ago.xq,En.m*D316+En.b,Ago.m*D316+Ago.b),#N/A))</f>
        <v>0.47568439128980028</v>
      </c>
      <c r="O317" s="46"/>
      <c r="P317" s="382"/>
      <c r="Q317" s="387"/>
      <c r="R317" s="388"/>
      <c r="S317" s="388"/>
      <c r="T317" s="388"/>
      <c r="U317" s="388"/>
      <c r="V317" s="386"/>
    </row>
    <row r="318" spans="1:22" ht="12.75">
      <c r="A318" s="355"/>
      <c r="B318" s="43">
        <f ca="1">IF(Em.tipo="Em del vapor",IF(N317&lt;xD, B317,#N/A), IF(B317&gt;xW,D318,#N/A))</f>
        <v>0.24373868956399486</v>
      </c>
      <c r="C318" s="341">
        <f ca="1">IF(ISBLANK(N317),#N/A,IF(Em.tipo="Em del vapor",m10y*B317^10+m9y*B317^9+m8y*B317^8+m7y*B317^7+m6y*B317^6+m5y*B317^5+m4y*B317^4+m3y*B317^3+m2y*B317^2+m1y*B317^1+mby,V318))</f>
        <v>0.24373868956399486</v>
      </c>
      <c r="D318" s="341">
        <f ca="1">IF(ISBLANK(C318),,IF(Em.tipo="Em del vapor",(C318-N317)*Em+N317,(C318-B317)*Em+B317))</f>
        <v>0.24373868956399486</v>
      </c>
      <c r="E318" s="346"/>
      <c r="F318" s="346"/>
      <c r="G318" s="346"/>
      <c r="H318" s="346"/>
      <c r="I318" s="346"/>
      <c r="J318" s="346"/>
      <c r="K318" s="346"/>
      <c r="L318" s="346"/>
      <c r="M318" s="346"/>
      <c r="N318" s="43">
        <f ca="1">IF(Em.tipo="Em del vapor",IF(N317&lt;xD, D318,#N/A), IF(B317&gt;xW,N317,#N/A))</f>
        <v>0.47568439128980028</v>
      </c>
      <c r="O318" s="46"/>
      <c r="P318" s="382">
        <f ca="1">IF(AND(xW&lt;=B318,B318&lt;xD),IF(Em.tipo="Em del vapor",IF(D318&lt;Ago.yq,0,1),IF(B317&gt;Ago.xq,1,0)),)</f>
        <v>0</v>
      </c>
      <c r="Q318" s="387">
        <f t="shared" ref="Q318" ca="1" si="187">N317</f>
        <v>0.47568439128980028</v>
      </c>
      <c r="R318" s="388">
        <f ca="1">INDEX(x.ascendente,MATCH(Q318,y.ascendente,1))</f>
        <v>0.22500000000000001</v>
      </c>
      <c r="S318" s="388">
        <f ca="1">INDEX(x.descendente,MATCH(Q318,y.descendente,-1))</f>
        <v>0.25</v>
      </c>
      <c r="T318" s="388">
        <f ca="1">INDEX(y.ascendente,MATCH(Q318,y.ascendente,1))</f>
        <v>0.45168278918379379</v>
      </c>
      <c r="U318" s="388">
        <f ca="1">INDEX(y.descendente,MATCH(Q318,y.descendente,-1))</f>
        <v>0.48370424140973278</v>
      </c>
      <c r="V318" s="386">
        <f t="shared" ref="V318" ca="1" si="188">FORECAST(Q318,R318:S318,T318:U318)</f>
        <v>0.24373868956399486</v>
      </c>
    </row>
    <row r="319" spans="1:22" ht="12.75">
      <c r="A319" s="355"/>
      <c r="B319" s="43">
        <f ca="1">IF(IFERROR(N318,#N/A),IF(Em.tipo="Em del vapor",IF(D318&lt;Ago.yq,(D318-Ago.b)/Ago.m,(D318-En.b)/En.m),D318))</f>
        <v>0.24373868956399486</v>
      </c>
      <c r="C319" s="341"/>
      <c r="D319" s="341"/>
      <c r="E319" s="346"/>
      <c r="F319" s="346"/>
      <c r="G319" s="346"/>
      <c r="H319" s="346"/>
      <c r="I319" s="346"/>
      <c r="J319" s="346"/>
      <c r="K319" s="346"/>
      <c r="L319" s="346"/>
      <c r="M319" s="346"/>
      <c r="N319" s="44">
        <f ca="1">IF(Em.tipo="Em del vapor",IF(N317&lt;xD, D318,#N/A),IF(B317&gt;xW,IF(D318&gt;Ago.xq,En.m*D318+En.b,Ago.m*D318+Ago.b),#N/A))</f>
        <v>0.28790019197644323</v>
      </c>
      <c r="O319" s="46"/>
      <c r="P319" s="382"/>
      <c r="Q319" s="387"/>
      <c r="R319" s="388"/>
      <c r="S319" s="388"/>
      <c r="T319" s="388"/>
      <c r="U319" s="388"/>
      <c r="V319" s="386"/>
    </row>
    <row r="320" spans="1:22" ht="12.75">
      <c r="A320" s="355"/>
      <c r="B320" s="43">
        <f ca="1">IF(Em.tipo="Em del vapor",IF(N319&lt;xD, B319,#N/A), IF(B319&gt;xW,D320,#N/A))</f>
        <v>0.12241950387669244</v>
      </c>
      <c r="C320" s="341">
        <f ca="1">IF(ISBLANK(N319),#N/A,IF(Em.tipo="Em del vapor",m10y*B319^10+m9y*B319^9+m8y*B319^8+m7y*B319^7+m6y*B319^6+m5y*B319^5+m4y*B319^4+m3y*B319^3+m2y*B319^2+m1y*B319^1+mby,V320))</f>
        <v>0.12241950387669244</v>
      </c>
      <c r="D320" s="341">
        <f ca="1">IF(ISBLANK(C320),,IF(Em.tipo="Em del vapor",(C320-N319)*Em+N319,(C320-B319)*Em+B319))</f>
        <v>0.12241950387669244</v>
      </c>
      <c r="E320" s="346"/>
      <c r="F320" s="346"/>
      <c r="G320" s="346"/>
      <c r="H320" s="346"/>
      <c r="I320" s="346"/>
      <c r="J320" s="346"/>
      <c r="K320" s="346"/>
      <c r="L320" s="346"/>
      <c r="M320" s="346"/>
      <c r="N320" s="43">
        <f ca="1">IF(Em.tipo="Em del vapor",IF(N319&lt;xD, D320,#N/A), IF(B319&gt;xW,N319,#N/A))</f>
        <v>0.28790019197644323</v>
      </c>
      <c r="O320" s="46"/>
      <c r="P320" s="382">
        <f ca="1">IF(AND(xW&lt;=B320,B320&lt;xD),IF(Em.tipo="Em del vapor",IF(D320&lt;Ago.yq,0,1),IF(B319&gt;Ago.xq,1,0)),)</f>
        <v>0</v>
      </c>
      <c r="Q320" s="387">
        <f t="shared" ref="Q320" ca="1" si="189">N319</f>
        <v>0.28790019197644323</v>
      </c>
      <c r="R320" s="388">
        <f ca="1">INDEX(x.ascendente,MATCH(Q320,y.ascendente,1))</f>
        <v>0.1</v>
      </c>
      <c r="S320" s="388">
        <f ca="1">INDEX(x.descendente,MATCH(Q320,y.descendente,-1))</f>
        <v>0.125</v>
      </c>
      <c r="T320" s="388">
        <f ca="1">INDEX(y.ascendente,MATCH(Q320,y.ascendente,1))</f>
        <v>0.24338907240355487</v>
      </c>
      <c r="U320" s="388">
        <f ca="1">INDEX(y.descendente,MATCH(Q320,y.descendente,-1))</f>
        <v>0.29302344412928544</v>
      </c>
      <c r="V320" s="386">
        <f t="shared" ref="V320" ca="1" si="190">FORECAST(Q320,R320:S320,T320:U320)</f>
        <v>0.12241950387669244</v>
      </c>
    </row>
    <row r="321" spans="1:22" ht="12.75">
      <c r="A321" s="355"/>
      <c r="B321" s="43">
        <f ca="1">IF(IFERROR(N320,#N/A),IF(Em.tipo="Em del vapor",IF(D320&lt;Ago.yq,(D320-Ago.b)/Ago.m,(D320-En.b)/En.m),D320))</f>
        <v>0.12241950387669244</v>
      </c>
      <c r="C321" s="341"/>
      <c r="D321" s="341"/>
      <c r="E321" s="346"/>
      <c r="F321" s="346"/>
      <c r="G321" s="346"/>
      <c r="H321" s="346"/>
      <c r="I321" s="346"/>
      <c r="J321" s="346"/>
      <c r="K321" s="346"/>
      <c r="L321" s="346"/>
      <c r="M321" s="346"/>
      <c r="N321" s="44">
        <f ca="1">IF(Em.tipo="Em del vapor",IF(N319&lt;xD, D320,#N/A),IF(B319&gt;xW,IF(D320&gt;Ago.xq,En.m*D320+En.b,Ago.m*D320+Ago.b),#N/A))</f>
        <v>0.14365456779010113</v>
      </c>
      <c r="O321" s="46"/>
      <c r="P321" s="382"/>
      <c r="Q321" s="387"/>
      <c r="R321" s="388"/>
      <c r="S321" s="388"/>
      <c r="T321" s="388"/>
      <c r="U321" s="388"/>
      <c r="V321" s="386"/>
    </row>
    <row r="322" spans="1:22" ht="12.75">
      <c r="A322" s="355"/>
      <c r="B322" s="43">
        <f ca="1">IF(Em.tipo="Em del vapor",IF(N321&lt;xD, B321,#N/A), IF(B321&gt;xW,D322,#N/A))</f>
        <v>5.569284409542867E-2</v>
      </c>
      <c r="C322" s="341">
        <f ca="1">IF(ISBLANK(N321),#N/A,IF(Em.tipo="Em del vapor",m10y*B321^10+m9y*B321^9+m8y*B321^8+m7y*B321^7+m6y*B321^6+m5y*B321^5+m4y*B321^4+m3y*B321^3+m2y*B321^2+m1y*B321^1+mby,V322))</f>
        <v>5.5692844095428663E-2</v>
      </c>
      <c r="D322" s="341">
        <f ca="1">IF(ISBLANK(C322),,IF(Em.tipo="Em del vapor",(C322-N321)*Em+N321,(C322-B321)*Em+B321))</f>
        <v>5.569284409542867E-2</v>
      </c>
      <c r="E322" s="346"/>
      <c r="F322" s="346"/>
      <c r="G322" s="346"/>
      <c r="H322" s="346"/>
      <c r="I322" s="346"/>
      <c r="J322" s="346"/>
      <c r="K322" s="346"/>
      <c r="L322" s="346"/>
      <c r="M322" s="346"/>
      <c r="N322" s="43">
        <f ca="1">IF(Em.tipo="Em del vapor",IF(N321&lt;xD, D322,#N/A), IF(B321&gt;xW,N321,#N/A))</f>
        <v>0.14365456779010113</v>
      </c>
      <c r="O322" s="46"/>
      <c r="P322" s="382">
        <f ca="1">IF(AND(xW&lt;=B322,B322&lt;xD),IF(Em.tipo="Em del vapor",IF(D322&lt;Ago.yq,0,1),IF(B321&gt;Ago.xq,1,0)),)</f>
        <v>0</v>
      </c>
      <c r="Q322" s="387">
        <f t="shared" ref="Q322" ca="1" si="191">N321</f>
        <v>0.14365456779010113</v>
      </c>
      <c r="R322" s="388">
        <f ca="1">INDEX(x.ascendente,MATCH(Q322,y.ascendente,1))</f>
        <v>0.05</v>
      </c>
      <c r="S322" s="388">
        <f ca="1">INDEX(x.descendente,MATCH(Q322,y.descendente,-1))</f>
        <v>7.4999999999999997E-2</v>
      </c>
      <c r="T322" s="388">
        <f ca="1">INDEX(y.ascendente,MATCH(Q322,y.ascendente,1))</f>
        <v>0.1302503104520204</v>
      </c>
      <c r="U322" s="388">
        <f ca="1">INDEX(y.descendente,MATCH(Q322,y.descendente,-1))</f>
        <v>0.1891148125944746</v>
      </c>
      <c r="V322" s="386">
        <f t="shared" ref="V322" ca="1" si="192">FORECAST(Q322,R322:S322,T322:U322)</f>
        <v>5.5692844095428663E-2</v>
      </c>
    </row>
    <row r="323" spans="1:22" ht="12.75">
      <c r="A323" s="355"/>
      <c r="B323" s="43">
        <f ca="1">IF(IFERROR(N322,#N/A),IF(Em.tipo="Em del vapor",IF(D322&lt;Ago.yq,(D322-Ago.b)/Ago.m,(D322-En.b)/En.m),D322))</f>
        <v>5.569284409542867E-2</v>
      </c>
      <c r="C323" s="341"/>
      <c r="D323" s="341"/>
      <c r="E323" s="346"/>
      <c r="F323" s="346"/>
      <c r="G323" s="346"/>
      <c r="H323" s="346"/>
      <c r="I323" s="346"/>
      <c r="J323" s="346"/>
      <c r="K323" s="346"/>
      <c r="L323" s="346"/>
      <c r="M323" s="346"/>
      <c r="N323" s="44">
        <f ca="1">IF(Em.tipo="Em del vapor",IF(N321&lt;xD, D322,#N/A),IF(B321&gt;xW,IF(D322&gt;Ago.xq,En.m*D322+En.b,Ago.m*D322+Ago.b),#N/A))</f>
        <v>6.4318157514265714E-2</v>
      </c>
      <c r="O323" s="46"/>
      <c r="P323" s="382"/>
      <c r="Q323" s="387"/>
      <c r="R323" s="388"/>
      <c r="S323" s="388"/>
      <c r="T323" s="388"/>
      <c r="U323" s="388"/>
      <c r="V323" s="386"/>
    </row>
    <row r="324" spans="1:22" ht="12.75">
      <c r="A324" s="355"/>
      <c r="B324" s="43">
        <f ca="1">IF(Em.tipo="Em del vapor",IF(N323&lt;xD, B323,#N/A), IF(B323&gt;xW,D324,#N/A))</f>
        <v>2.3890810073487374E-2</v>
      </c>
      <c r="C324" s="341">
        <f ca="1">IF(ISBLANK(N323),#N/A,IF(Em.tipo="Em del vapor",m10y*B323^10+m9y*B323^9+m8y*B323^8+m7y*B323^7+m6y*B323^6+m5y*B323^5+m4y*B323^4+m3y*B323^3+m2y*B323^2+m1y*B323^1+mby,V324))</f>
        <v>2.3890810073487374E-2</v>
      </c>
      <c r="D324" s="341">
        <f ca="1">IF(ISBLANK(C324),,IF(Em.tipo="Em del vapor",(C324-N323)*Em+N323,(C324-B323)*Em+B323))</f>
        <v>2.3890810073487374E-2</v>
      </c>
      <c r="E324" s="346"/>
      <c r="F324" s="346"/>
      <c r="G324" s="346"/>
      <c r="H324" s="346"/>
      <c r="I324" s="346"/>
      <c r="J324" s="346"/>
      <c r="K324" s="346"/>
      <c r="L324" s="346"/>
      <c r="M324" s="346"/>
      <c r="N324" s="43">
        <f ca="1">IF(Em.tipo="Em del vapor",IF(N323&lt;xD, D324,#N/A), IF(B323&gt;xW,N323,#N/A))</f>
        <v>6.4318157514265714E-2</v>
      </c>
      <c r="O324" s="46"/>
      <c r="P324" s="382">
        <f ca="1">IF(AND(xW&lt;=B324,B324&lt;xD),IF(Em.tipo="Em del vapor",IF(D324&lt;Ago.yq,0,1),IF(B323&gt;Ago.xq,1,0)),)</f>
        <v>0</v>
      </c>
      <c r="Q324" s="387">
        <f t="shared" ref="Q324" ca="1" si="193">N323</f>
        <v>6.4318157514265714E-2</v>
      </c>
      <c r="R324" s="388">
        <f ca="1">INDEX(x.ascendente,MATCH(Q324,y.ascendente,1))</f>
        <v>0</v>
      </c>
      <c r="S324" s="388">
        <f ca="1">INDEX(x.descendente,MATCH(Q324,y.descendente,-1))</f>
        <v>2.5000000000000001E-2</v>
      </c>
      <c r="T324" s="388">
        <f ca="1">INDEX(y.ascendente,MATCH(Q324,y.ascendente,1))</f>
        <v>1.1394919696843253E-3</v>
      </c>
      <c r="U324" s="388">
        <f ca="1">INDEX(y.descendente,MATCH(Q324,y.descendente,-1))</f>
        <v>6.7251383268311107E-2</v>
      </c>
      <c r="V324" s="386">
        <f t="shared" ref="V324" ca="1" si="194">FORECAST(Q324,R324:S324,T324:U324)</f>
        <v>2.3890810073487374E-2</v>
      </c>
    </row>
    <row r="325" spans="1:22" ht="12.75">
      <c r="A325" s="355"/>
      <c r="B325" s="43">
        <f ca="1">IF(IFERROR(N324,#N/A),IF(Em.tipo="Em del vapor",IF(D324&lt;Ago.yq,(D324-Ago.b)/Ago.m,(D324-En.b)/En.m),D324))</f>
        <v>2.3890810073487374E-2</v>
      </c>
      <c r="C325" s="341"/>
      <c r="D325" s="341"/>
      <c r="E325" s="346"/>
      <c r="F325" s="346"/>
      <c r="G325" s="346"/>
      <c r="H325" s="346"/>
      <c r="I325" s="346"/>
      <c r="J325" s="346"/>
      <c r="K325" s="346"/>
      <c r="L325" s="346"/>
      <c r="M325" s="346"/>
      <c r="N325" s="44">
        <f ca="1">IF(Em.tipo="Em del vapor",IF(N323&lt;xD, D324,#N/A),IF(B323&gt;xW,IF(D324&gt;Ago.xq,En.m*D324+En.b,Ago.m*D324+Ago.b),#N/A))</f>
        <v>2.6506296002815344E-2</v>
      </c>
      <c r="O325" s="46"/>
      <c r="P325" s="382"/>
      <c r="Q325" s="387"/>
      <c r="R325" s="388"/>
      <c r="S325" s="388"/>
      <c r="T325" s="388"/>
      <c r="U325" s="388"/>
      <c r="V325" s="386"/>
    </row>
    <row r="326" spans="1:22" ht="12.75">
      <c r="A326" s="355"/>
      <c r="B326" s="43">
        <f ca="1">IF(Em.tipo="Em del vapor",IF(N325&lt;xD, B325,#N/A), IF(B325&gt;xW,D326,#N/A))</f>
        <v>9.5923757189721771E-3</v>
      </c>
      <c r="C326" s="341">
        <f ca="1">IF(ISBLANK(N325),#N/A,IF(Em.tipo="Em del vapor",m10y*B325^10+m9y*B325^9+m8y*B325^8+m7y*B325^7+m6y*B325^6+m5y*B325^5+m4y*B325^4+m3y*B325^3+m2y*B325^2+m1y*B325^1+mby,V326))</f>
        <v>9.5923757189721771E-3</v>
      </c>
      <c r="D326" s="341">
        <f ca="1">IF(ISBLANK(C326),,IF(Em.tipo="Em del vapor",(C326-N325)*Em+N325,(C326-B325)*Em+B325))</f>
        <v>9.5923757189721771E-3</v>
      </c>
      <c r="E326" s="346"/>
      <c r="F326" s="346"/>
      <c r="G326" s="346"/>
      <c r="H326" s="346"/>
      <c r="I326" s="346"/>
      <c r="J326" s="346"/>
      <c r="K326" s="346"/>
      <c r="L326" s="346"/>
      <c r="M326" s="346"/>
      <c r="N326" s="43">
        <f ca="1">IF(Em.tipo="Em del vapor",IF(N325&lt;xD, D326,#N/A), IF(B325&gt;xW,N325,#N/A))</f>
        <v>2.6506296002815344E-2</v>
      </c>
      <c r="O326" s="46"/>
      <c r="P326" s="382">
        <f ca="1">IF(AND(xW&lt;=B326,B326&lt;xD),IF(Em.tipo="Em del vapor",IF(D326&lt;Ago.yq,0,1),IF(B325&gt;Ago.xq,1,0)),)</f>
        <v>0</v>
      </c>
      <c r="Q326" s="387">
        <f t="shared" ref="Q326" ca="1" si="195">N325</f>
        <v>2.6506296002815344E-2</v>
      </c>
      <c r="R326" s="388">
        <f ca="1">INDEX(x.ascendente,MATCH(Q326,y.ascendente,1))</f>
        <v>0</v>
      </c>
      <c r="S326" s="388">
        <f ca="1">INDEX(x.descendente,MATCH(Q326,y.descendente,-1))</f>
        <v>2.5000000000000001E-2</v>
      </c>
      <c r="T326" s="388">
        <f ca="1">INDEX(y.ascendente,MATCH(Q326,y.ascendente,1))</f>
        <v>1.1394919696843253E-3</v>
      </c>
      <c r="U326" s="388">
        <f ca="1">INDEX(y.descendente,MATCH(Q326,y.descendente,-1))</f>
        <v>6.7251383268311107E-2</v>
      </c>
      <c r="V326" s="386">
        <f t="shared" ref="V326" ca="1" si="196">FORECAST(Q326,R326:S326,T326:U326)</f>
        <v>9.5923757189721771E-3</v>
      </c>
    </row>
    <row r="327" spans="1:22" ht="12.75">
      <c r="A327" s="355"/>
      <c r="B327" s="43">
        <f ca="1">IF(IFERROR(N326,#N/A),IF(Em.tipo="Em del vapor",IF(D326&lt;Ago.yq,(D326-Ago.b)/Ago.m,(D326-En.b)/En.m),D326))</f>
        <v>9.5923757189721771E-3</v>
      </c>
      <c r="C327" s="341"/>
      <c r="D327" s="341"/>
      <c r="E327" s="346"/>
      <c r="F327" s="346"/>
      <c r="G327" s="346"/>
      <c r="H327" s="346"/>
      <c r="I327" s="346"/>
      <c r="J327" s="346"/>
      <c r="K327" s="346"/>
      <c r="L327" s="346"/>
      <c r="M327" s="346"/>
      <c r="N327" s="44">
        <f ca="1">IF(Em.tipo="Em del vapor",IF(N325&lt;xD, D326,#N/A),IF(B325&gt;xW,IF(D326&gt;Ago.xq,En.m*D326+En.b,Ago.m*D326+Ago.b),#N/A))</f>
        <v>9.5057978815165645E-3</v>
      </c>
      <c r="O327" s="46"/>
      <c r="P327" s="382"/>
      <c r="Q327" s="387"/>
      <c r="R327" s="388"/>
      <c r="S327" s="388"/>
      <c r="T327" s="388"/>
      <c r="U327" s="388"/>
      <c r="V327" s="386"/>
    </row>
    <row r="328" spans="1:22" ht="12.75">
      <c r="A328" s="355"/>
      <c r="B328" s="43" t="e">
        <f ca="1">IF(Em.tipo="Em del vapor",IF(N327&lt;xD, B327,#N/A), IF(B327&gt;xW,D328,#N/A))</f>
        <v>#N/A</v>
      </c>
      <c r="C328" s="341">
        <f ca="1">IF(ISBLANK(N327),#N/A,IF(Em.tipo="Em del vapor",m10y*B327^10+m9y*B327^9+m8y*B327^8+m7y*B327^7+m6y*B327^6+m5y*B327^5+m4y*B327^4+m3y*B327^3+m2y*B327^2+m1y*B327^1+mby,V328))</f>
        <v>3.1636917911037044E-3</v>
      </c>
      <c r="D328" s="341">
        <f ca="1">IF(ISBLANK(C328),,IF(Em.tipo="Em del vapor",(C328-N327)*Em+N327,(C328-B327)*Em+B327))</f>
        <v>3.1636917911037048E-3</v>
      </c>
      <c r="E328" s="346"/>
      <c r="F328" s="346"/>
      <c r="G328" s="346"/>
      <c r="H328" s="346"/>
      <c r="I328" s="346"/>
      <c r="J328" s="346"/>
      <c r="K328" s="346"/>
      <c r="L328" s="346"/>
      <c r="M328" s="346"/>
      <c r="N328" s="43" t="e">
        <f ca="1">IF(Em.tipo="Em del vapor",IF(N327&lt;xD, D328,#N/A), IF(B327&gt;xW,N327,#N/A))</f>
        <v>#N/A</v>
      </c>
      <c r="O328" s="46"/>
      <c r="P328" s="382" t="e">
        <f ca="1">IF(AND(xW&lt;=B328,B328&lt;xD),IF(Em.tipo="Em del vapor",IF(D328&lt;Ago.yq,0,1),IF(B327&gt;Ago.xq,1,0)),)</f>
        <v>#N/A</v>
      </c>
      <c r="Q328" s="387">
        <f t="shared" ref="Q328" ca="1" si="197">N327</f>
        <v>9.5057978815165645E-3</v>
      </c>
      <c r="R328" s="388">
        <f ca="1">INDEX(x.ascendente,MATCH(Q328,y.ascendente,1))</f>
        <v>0</v>
      </c>
      <c r="S328" s="388">
        <f ca="1">INDEX(x.descendente,MATCH(Q328,y.descendente,-1))</f>
        <v>2.5000000000000001E-2</v>
      </c>
      <c r="T328" s="388">
        <f ca="1">INDEX(y.ascendente,MATCH(Q328,y.ascendente,1))</f>
        <v>1.1394919696843253E-3</v>
      </c>
      <c r="U328" s="388">
        <f ca="1">INDEX(y.descendente,MATCH(Q328,y.descendente,-1))</f>
        <v>6.7251383268311107E-2</v>
      </c>
      <c r="V328" s="386">
        <f t="shared" ref="V328" ca="1" si="198">FORECAST(Q328,R328:S328,T328:U328)</f>
        <v>3.1636917911037044E-3</v>
      </c>
    </row>
    <row r="329" spans="1:22" ht="12.75">
      <c r="A329" s="355"/>
      <c r="B329" s="43" t="e">
        <f ca="1">IF(IFERROR(N328,#N/A),IF(Em.tipo="Em del vapor",IF(D328&lt;Ago.yq,(D328-Ago.b)/Ago.m,(D328-En.b)/En.m),D328))</f>
        <v>#N/A</v>
      </c>
      <c r="C329" s="341"/>
      <c r="D329" s="341"/>
      <c r="E329" s="346"/>
      <c r="F329" s="346"/>
      <c r="G329" s="346"/>
      <c r="H329" s="346"/>
      <c r="I329" s="346"/>
      <c r="J329" s="346"/>
      <c r="K329" s="346"/>
      <c r="L329" s="346"/>
      <c r="M329" s="346"/>
      <c r="N329" s="44" t="e">
        <f ca="1">IF(Em.tipo="Em del vapor",IF(N327&lt;xD, D328,#N/A),IF(B327&gt;xW,IF(D328&gt;Ago.xq,En.m*D328+En.b,Ago.m*D328+Ago.b),#N/A))</f>
        <v>#N/A</v>
      </c>
      <c r="O329" s="46"/>
      <c r="P329" s="382"/>
      <c r="Q329" s="387"/>
      <c r="R329" s="388"/>
      <c r="S329" s="388"/>
      <c r="T329" s="388"/>
      <c r="U329" s="388"/>
      <c r="V329" s="386"/>
    </row>
    <row r="330" spans="1:22" ht="12.75">
      <c r="A330" s="355"/>
      <c r="B330" s="43" t="e">
        <f ca="1">IF(Em.tipo="Em del vapor",IF(N329&lt;xD, B329,#N/A), IF(B329&gt;xW,D330,#N/A))</f>
        <v>#N/A</v>
      </c>
      <c r="C330" s="341" t="e">
        <f ca="1">IF(ISBLANK(N329),#N/A,IF(Em.tipo="Em del vapor",m10y*B329^10+m9y*B329^9+m8y*B329^8+m7y*B329^7+m6y*B329^6+m5y*B329^5+m4y*B329^4+m3y*B329^3+m2y*B329^2+m1y*B329^1+mby,V330))</f>
        <v>#N/A</v>
      </c>
      <c r="D330" s="341" t="e">
        <f ca="1">IF(ISBLANK(C330),,IF(Em.tipo="Em del vapor",(C330-N329)*Em+N329,(C330-B329)*Em+B329))</f>
        <v>#N/A</v>
      </c>
      <c r="E330" s="346"/>
      <c r="F330" s="346"/>
      <c r="G330" s="346"/>
      <c r="H330" s="346"/>
      <c r="I330" s="346"/>
      <c r="J330" s="346"/>
      <c r="K330" s="346"/>
      <c r="L330" s="346"/>
      <c r="M330" s="346"/>
      <c r="N330" s="43" t="e">
        <f ca="1">IF(Em.tipo="Em del vapor",IF(N329&lt;xD, D330,#N/A), IF(B329&gt;xW,N329,#N/A))</f>
        <v>#N/A</v>
      </c>
      <c r="O330" s="46"/>
      <c r="P330" s="382" t="e">
        <f ca="1">IF(AND(xW&lt;=B330,B330&lt;xD),IF(Em.tipo="Em del vapor",IF(D330&lt;Ago.yq,0,1),IF(B329&gt;Ago.xq,1,0)),)</f>
        <v>#N/A</v>
      </c>
      <c r="Q330" s="387" t="e">
        <f t="shared" ref="Q330" ca="1" si="199">N329</f>
        <v>#N/A</v>
      </c>
      <c r="R330" s="388" t="e">
        <f ca="1">INDEX(x.ascendente,MATCH(Q330,y.ascendente,1))</f>
        <v>#N/A</v>
      </c>
      <c r="S330" s="388" t="e">
        <f ca="1">INDEX(x.descendente,MATCH(Q330,y.descendente,-1))</f>
        <v>#N/A</v>
      </c>
      <c r="T330" s="388" t="e">
        <f ca="1">INDEX(y.ascendente,MATCH(Q330,y.ascendente,1))</f>
        <v>#N/A</v>
      </c>
      <c r="U330" s="388" t="e">
        <f ca="1">INDEX(y.descendente,MATCH(Q330,y.descendente,-1))</f>
        <v>#N/A</v>
      </c>
      <c r="V330" s="386" t="e">
        <f t="shared" ref="V330" ca="1" si="200">FORECAST(Q330,R330:S330,T330:U330)</f>
        <v>#N/A</v>
      </c>
    </row>
    <row r="331" spans="1:22" ht="12.75">
      <c r="A331" s="355"/>
      <c r="B331" s="43" t="e">
        <f ca="1">IF(IFERROR(N330,#N/A),IF(Em.tipo="Em del vapor",IF(D330&lt;Ago.yq,(D330-Ago.b)/Ago.m,(D330-En.b)/En.m),D330))</f>
        <v>#N/A</v>
      </c>
      <c r="C331" s="341"/>
      <c r="D331" s="341"/>
      <c r="E331" s="346"/>
      <c r="F331" s="346"/>
      <c r="G331" s="346"/>
      <c r="H331" s="346"/>
      <c r="I331" s="346"/>
      <c r="J331" s="346"/>
      <c r="K331" s="346"/>
      <c r="L331" s="346"/>
      <c r="M331" s="346"/>
      <c r="N331" s="44" t="e">
        <f ca="1">IF(Em.tipo="Em del vapor",IF(N329&lt;xD, D330,#N/A),IF(B329&gt;xW,IF(D330&gt;Ago.xq,En.m*D330+En.b,Ago.m*D330+Ago.b),#N/A))</f>
        <v>#N/A</v>
      </c>
      <c r="O331" s="46"/>
      <c r="P331" s="382"/>
      <c r="Q331" s="387"/>
      <c r="R331" s="388"/>
      <c r="S331" s="388"/>
      <c r="T331" s="388"/>
      <c r="U331" s="388"/>
      <c r="V331" s="386"/>
    </row>
    <row r="332" spans="1:22" ht="12.75">
      <c r="A332" s="355"/>
      <c r="B332" s="43" t="e">
        <f ca="1">IF(Em.tipo="Em del vapor",IF(N331&lt;xD, B331,#N/A), IF(B331&gt;xW,D332,#N/A))</f>
        <v>#N/A</v>
      </c>
      <c r="C332" s="341" t="e">
        <f ca="1">IF(ISBLANK(N331),#N/A,IF(Em.tipo="Em del vapor",m10y*B331^10+m9y*B331^9+m8y*B331^8+m7y*B331^7+m6y*B331^6+m5y*B331^5+m4y*B331^4+m3y*B331^3+m2y*B331^2+m1y*B331^1+mby,V332))</f>
        <v>#N/A</v>
      </c>
      <c r="D332" s="341" t="e">
        <f ca="1">IF(ISBLANK(C332),,IF(Em.tipo="Em del vapor",(C332-N331)*Em+N331,(C332-B331)*Em+B331))</f>
        <v>#N/A</v>
      </c>
      <c r="E332" s="346"/>
      <c r="F332" s="346"/>
      <c r="G332" s="346"/>
      <c r="H332" s="346"/>
      <c r="I332" s="346"/>
      <c r="J332" s="346"/>
      <c r="K332" s="346"/>
      <c r="L332" s="346"/>
      <c r="M332" s="346"/>
      <c r="N332" s="43" t="e">
        <f ca="1">IF(Em.tipo="Em del vapor",IF(N331&lt;xD, D332,#N/A), IF(B331&gt;xW,N331,#N/A))</f>
        <v>#N/A</v>
      </c>
      <c r="O332" s="46"/>
      <c r="P332" s="382" t="e">
        <f ca="1">IF(AND(xW&lt;=B332,B332&lt;xD),IF(Em.tipo="Em del vapor",IF(D332&lt;Ago.yq,0,1),IF(B331&gt;Ago.xq,1,0)),)</f>
        <v>#N/A</v>
      </c>
      <c r="Q332" s="387" t="e">
        <f t="shared" ref="Q332" ca="1" si="201">N331</f>
        <v>#N/A</v>
      </c>
      <c r="R332" s="388" t="e">
        <f ca="1">INDEX(x.ascendente,MATCH(Q332,y.ascendente,1))</f>
        <v>#N/A</v>
      </c>
      <c r="S332" s="388" t="e">
        <f ca="1">INDEX(x.descendente,MATCH(Q332,y.descendente,-1))</f>
        <v>#N/A</v>
      </c>
      <c r="T332" s="388" t="e">
        <f ca="1">INDEX(y.ascendente,MATCH(Q332,y.ascendente,1))</f>
        <v>#N/A</v>
      </c>
      <c r="U332" s="388" t="e">
        <f ca="1">INDEX(y.descendente,MATCH(Q332,y.descendente,-1))</f>
        <v>#N/A</v>
      </c>
      <c r="V332" s="386" t="e">
        <f t="shared" ref="V332" ca="1" si="202">FORECAST(Q332,R332:S332,T332:U332)</f>
        <v>#N/A</v>
      </c>
    </row>
    <row r="333" spans="1:22" ht="12.75">
      <c r="A333" s="355"/>
      <c r="B333" s="43" t="e">
        <f ca="1">IF(IFERROR(N332,#N/A),IF(Em.tipo="Em del vapor",IF(D332&lt;Ago.yq,(D332-Ago.b)/Ago.m,(D332-En.b)/En.m),D332))</f>
        <v>#N/A</v>
      </c>
      <c r="C333" s="341"/>
      <c r="D333" s="341"/>
      <c r="E333" s="346"/>
      <c r="F333" s="346"/>
      <c r="G333" s="346"/>
      <c r="H333" s="346"/>
      <c r="I333" s="346"/>
      <c r="J333" s="346"/>
      <c r="K333" s="346"/>
      <c r="L333" s="346"/>
      <c r="M333" s="346"/>
      <c r="N333" s="44" t="e">
        <f ca="1">IF(Em.tipo="Em del vapor",IF(N331&lt;xD, D332,#N/A),IF(B331&gt;xW,IF(D332&gt;Ago.xq,En.m*D332+En.b,Ago.m*D332+Ago.b),#N/A))</f>
        <v>#N/A</v>
      </c>
      <c r="O333" s="46"/>
      <c r="P333" s="382"/>
      <c r="Q333" s="387"/>
      <c r="R333" s="388"/>
      <c r="S333" s="388"/>
      <c r="T333" s="388"/>
      <c r="U333" s="388"/>
      <c r="V333" s="386"/>
    </row>
    <row r="334" spans="1:22" ht="12.75">
      <c r="A334" s="355"/>
      <c r="B334" s="43" t="e">
        <f ca="1">IF(Em.tipo="Em del vapor",IF(N333&lt;xD, B333,#N/A), IF(B333&gt;xW,D334,#N/A))</f>
        <v>#N/A</v>
      </c>
      <c r="C334" s="341" t="e">
        <f ca="1">IF(ISBLANK(N333),#N/A,IF(Em.tipo="Em del vapor",m10y*B333^10+m9y*B333^9+m8y*B333^8+m7y*B333^7+m6y*B333^6+m5y*B333^5+m4y*B333^4+m3y*B333^3+m2y*B333^2+m1y*B333^1+mby,V334))</f>
        <v>#N/A</v>
      </c>
      <c r="D334" s="341" t="e">
        <f ca="1">IF(ISBLANK(C334),,IF(Em.tipo="Em del vapor",(C334-N333)*Em+N333,(C334-B333)*Em+B333))</f>
        <v>#N/A</v>
      </c>
      <c r="E334" s="346"/>
      <c r="F334" s="346"/>
      <c r="G334" s="346"/>
      <c r="H334" s="346"/>
      <c r="I334" s="346"/>
      <c r="J334" s="346"/>
      <c r="K334" s="346"/>
      <c r="L334" s="346"/>
      <c r="M334" s="346"/>
      <c r="N334" s="43" t="e">
        <f ca="1">IF(Em.tipo="Em del vapor",IF(N333&lt;xD, D334,#N/A), IF(B333&gt;xW,N333,#N/A))</f>
        <v>#N/A</v>
      </c>
      <c r="O334" s="46"/>
      <c r="P334" s="382" t="e">
        <f ca="1">IF(AND(xW&lt;=B334,B334&lt;xD),IF(Em.tipo="Em del vapor",IF(D334&lt;Ago.yq,0,1),IF(B333&gt;Ago.xq,1,0)),)</f>
        <v>#N/A</v>
      </c>
      <c r="Q334" s="387" t="e">
        <f t="shared" ref="Q334" ca="1" si="203">N333</f>
        <v>#N/A</v>
      </c>
      <c r="R334" s="388" t="e">
        <f ca="1">INDEX(x.ascendente,MATCH(Q334,y.ascendente,1))</f>
        <v>#N/A</v>
      </c>
      <c r="S334" s="388" t="e">
        <f ca="1">INDEX(x.descendente,MATCH(Q334,y.descendente,-1))</f>
        <v>#N/A</v>
      </c>
      <c r="T334" s="388" t="e">
        <f ca="1">INDEX(y.ascendente,MATCH(Q334,y.ascendente,1))</f>
        <v>#N/A</v>
      </c>
      <c r="U334" s="388" t="e">
        <f ca="1">INDEX(y.descendente,MATCH(Q334,y.descendente,-1))</f>
        <v>#N/A</v>
      </c>
      <c r="V334" s="386" t="e">
        <f t="shared" ref="V334" ca="1" si="204">FORECAST(Q334,R334:S334,T334:U334)</f>
        <v>#N/A</v>
      </c>
    </row>
    <row r="335" spans="1:22" ht="12.75">
      <c r="A335" s="355"/>
      <c r="B335" s="43" t="e">
        <f ca="1">IF(IFERROR(N334,#N/A),IF(Em.tipo="Em del vapor",IF(D334&lt;Ago.yq,(D334-Ago.b)/Ago.m,(D334-En.b)/En.m),D334))</f>
        <v>#N/A</v>
      </c>
      <c r="C335" s="341"/>
      <c r="D335" s="341"/>
      <c r="E335" s="346"/>
      <c r="F335" s="346"/>
      <c r="G335" s="346"/>
      <c r="H335" s="346"/>
      <c r="I335" s="346"/>
      <c r="J335" s="346"/>
      <c r="K335" s="346"/>
      <c r="L335" s="346"/>
      <c r="M335" s="346"/>
      <c r="N335" s="44" t="e">
        <f ca="1">IF(Em.tipo="Em del vapor",IF(N333&lt;xD, D334,#N/A),IF(B333&gt;xW,IF(D334&gt;Ago.xq,En.m*D334+En.b,Ago.m*D334+Ago.b),#N/A))</f>
        <v>#N/A</v>
      </c>
      <c r="O335" s="46"/>
      <c r="P335" s="382"/>
      <c r="Q335" s="387"/>
      <c r="R335" s="388"/>
      <c r="S335" s="388"/>
      <c r="T335" s="388"/>
      <c r="U335" s="388"/>
      <c r="V335" s="386"/>
    </row>
    <row r="336" spans="1:22" ht="12.75">
      <c r="A336" s="355"/>
      <c r="B336" s="43" t="e">
        <f ca="1">IF(Em.tipo="Em del vapor",IF(N335&lt;xD, B335,#N/A), IF(B335&gt;xW,D336,#N/A))</f>
        <v>#N/A</v>
      </c>
      <c r="C336" s="341" t="e">
        <f ca="1">IF(ISBLANK(N335),#N/A,IF(Em.tipo="Em del vapor",m10y*B335^10+m9y*B335^9+m8y*B335^8+m7y*B335^7+m6y*B335^6+m5y*B335^5+m4y*B335^4+m3y*B335^3+m2y*B335^2+m1y*B335^1+mby,V336))</f>
        <v>#N/A</v>
      </c>
      <c r="D336" s="341" t="e">
        <f ca="1">IF(ISBLANK(C336),,IF(Em.tipo="Em del vapor",(C336-N335)*Em+N335,(C336-B335)*Em+B335))</f>
        <v>#N/A</v>
      </c>
      <c r="E336" s="346"/>
      <c r="F336" s="346"/>
      <c r="G336" s="346"/>
      <c r="H336" s="346"/>
      <c r="I336" s="346"/>
      <c r="J336" s="346"/>
      <c r="K336" s="346"/>
      <c r="L336" s="346"/>
      <c r="M336" s="346"/>
      <c r="N336" s="43" t="e">
        <f ca="1">IF(Em.tipo="Em del vapor",IF(N335&lt;xD, D336,#N/A), IF(B335&gt;xW,N335,#N/A))</f>
        <v>#N/A</v>
      </c>
      <c r="O336" s="46"/>
      <c r="P336" s="382" t="e">
        <f ca="1">IF(AND(xW&lt;=B336,B336&lt;xD),IF(Em.tipo="Em del vapor",IF(D336&lt;Ago.yq,0,1),IF(B335&gt;Ago.xq,1,0)),)</f>
        <v>#N/A</v>
      </c>
      <c r="Q336" s="387" t="e">
        <f t="shared" ref="Q336" ca="1" si="205">N335</f>
        <v>#N/A</v>
      </c>
      <c r="R336" s="388" t="e">
        <f ca="1">INDEX(x.ascendente,MATCH(Q336,y.ascendente,1))</f>
        <v>#N/A</v>
      </c>
      <c r="S336" s="388" t="e">
        <f ca="1">INDEX(x.descendente,MATCH(Q336,y.descendente,-1))</f>
        <v>#N/A</v>
      </c>
      <c r="T336" s="388" t="e">
        <f ca="1">INDEX(y.ascendente,MATCH(Q336,y.ascendente,1))</f>
        <v>#N/A</v>
      </c>
      <c r="U336" s="388" t="e">
        <f ca="1">INDEX(y.descendente,MATCH(Q336,y.descendente,-1))</f>
        <v>#N/A</v>
      </c>
      <c r="V336" s="386" t="e">
        <f t="shared" ref="V336" ca="1" si="206">FORECAST(Q336,R336:S336,T336:U336)</f>
        <v>#N/A</v>
      </c>
    </row>
    <row r="337" spans="1:22" ht="12.75">
      <c r="A337" s="355"/>
      <c r="B337" s="43" t="e">
        <f ca="1">IF(IFERROR(N336,#N/A),IF(Em.tipo="Em del vapor",IF(D336&lt;Ago.yq,(D336-Ago.b)/Ago.m,(D336-En.b)/En.m),D336))</f>
        <v>#N/A</v>
      </c>
      <c r="C337" s="341"/>
      <c r="D337" s="341"/>
      <c r="E337" s="346"/>
      <c r="F337" s="346"/>
      <c r="G337" s="346"/>
      <c r="H337" s="346"/>
      <c r="I337" s="346"/>
      <c r="J337" s="346"/>
      <c r="K337" s="346"/>
      <c r="L337" s="346"/>
      <c r="M337" s="346"/>
      <c r="N337" s="44" t="e">
        <f ca="1">IF(Em.tipo="Em del vapor",IF(N335&lt;xD, D336,#N/A),IF(B335&gt;xW,IF(D336&gt;Ago.xq,En.m*D336+En.b,Ago.m*D336+Ago.b),#N/A))</f>
        <v>#N/A</v>
      </c>
      <c r="O337" s="46"/>
      <c r="P337" s="382"/>
      <c r="Q337" s="387"/>
      <c r="R337" s="388"/>
      <c r="S337" s="388"/>
      <c r="T337" s="388"/>
      <c r="U337" s="388"/>
      <c r="V337" s="386"/>
    </row>
    <row r="338" spans="1:22" ht="12.75">
      <c r="A338" s="355"/>
      <c r="B338" s="43" t="e">
        <f ca="1">IF(Em.tipo="Em del vapor",IF(N337&lt;xD, B337,#N/A), IF(B337&gt;xW,D338,#N/A))</f>
        <v>#N/A</v>
      </c>
      <c r="C338" s="341" t="e">
        <f ca="1">IF(ISBLANK(N337),#N/A,IF(Em.tipo="Em del vapor",m10y*B337^10+m9y*B337^9+m8y*B337^8+m7y*B337^7+m6y*B337^6+m5y*B337^5+m4y*B337^4+m3y*B337^3+m2y*B337^2+m1y*B337^1+mby,V338))</f>
        <v>#N/A</v>
      </c>
      <c r="D338" s="341" t="e">
        <f ca="1">IF(ISBLANK(C338),,IF(Em.tipo="Em del vapor",(C338-N337)*Em+N337,(C338-B337)*Em+B337))</f>
        <v>#N/A</v>
      </c>
      <c r="E338" s="346"/>
      <c r="F338" s="346"/>
      <c r="G338" s="346"/>
      <c r="H338" s="346"/>
      <c r="I338" s="346"/>
      <c r="J338" s="346"/>
      <c r="K338" s="346"/>
      <c r="L338" s="346"/>
      <c r="M338" s="346"/>
      <c r="N338" s="43" t="e">
        <f ca="1">IF(Em.tipo="Em del vapor",IF(N337&lt;xD, D338,#N/A), IF(B337&gt;xW,N337,#N/A))</f>
        <v>#N/A</v>
      </c>
      <c r="O338" s="46"/>
      <c r="P338" s="382" t="e">
        <f ca="1">IF(AND(xW&lt;=B338,B338&lt;xD),IF(Em.tipo="Em del vapor",IF(D338&lt;Ago.yq,0,1),IF(B337&gt;Ago.xq,1,0)),)</f>
        <v>#N/A</v>
      </c>
      <c r="Q338" s="387" t="e">
        <f t="shared" ref="Q338" ca="1" si="207">N337</f>
        <v>#N/A</v>
      </c>
      <c r="R338" s="388" t="e">
        <f ca="1">INDEX(x.ascendente,MATCH(Q338,y.ascendente,1))</f>
        <v>#N/A</v>
      </c>
      <c r="S338" s="388" t="e">
        <f ca="1">INDEX(x.descendente,MATCH(Q338,y.descendente,-1))</f>
        <v>#N/A</v>
      </c>
      <c r="T338" s="388" t="e">
        <f ca="1">INDEX(y.ascendente,MATCH(Q338,y.ascendente,1))</f>
        <v>#N/A</v>
      </c>
      <c r="U338" s="388" t="e">
        <f ca="1">INDEX(y.descendente,MATCH(Q338,y.descendente,-1))</f>
        <v>#N/A</v>
      </c>
      <c r="V338" s="386" t="e">
        <f t="shared" ref="V338" ca="1" si="208">FORECAST(Q338,R338:S338,T338:U338)</f>
        <v>#N/A</v>
      </c>
    </row>
    <row r="339" spans="1:22" ht="12.75">
      <c r="A339" s="355"/>
      <c r="B339" s="43" t="e">
        <f ca="1">IF(IFERROR(N338,#N/A),IF(Em.tipo="Em del vapor",IF(D338&lt;Ago.yq,(D338-Ago.b)/Ago.m,(D338-En.b)/En.m),D338))</f>
        <v>#N/A</v>
      </c>
      <c r="C339" s="341"/>
      <c r="D339" s="341"/>
      <c r="E339" s="346"/>
      <c r="F339" s="346"/>
      <c r="G339" s="346"/>
      <c r="H339" s="346"/>
      <c r="I339" s="346"/>
      <c r="J339" s="346"/>
      <c r="K339" s="346"/>
      <c r="L339" s="346"/>
      <c r="M339" s="346"/>
      <c r="N339" s="44" t="e">
        <f ca="1">IF(Em.tipo="Em del vapor",IF(N337&lt;xD, D338,#N/A),IF(B337&gt;xW,IF(D338&gt;Ago.xq,En.m*D338+En.b,Ago.m*D338+Ago.b),#N/A))</f>
        <v>#N/A</v>
      </c>
      <c r="O339" s="46"/>
      <c r="P339" s="382"/>
      <c r="Q339" s="387"/>
      <c r="R339" s="388"/>
      <c r="S339" s="388"/>
      <c r="T339" s="388"/>
      <c r="U339" s="388"/>
      <c r="V339" s="386"/>
    </row>
    <row r="340" spans="1:22" ht="12.75">
      <c r="A340" s="355"/>
      <c r="B340" s="43" t="e">
        <f ca="1">IF(Em.tipo="Em del vapor",IF(N339&lt;xD, B339,#N/A), IF(B339&gt;xW,D340,#N/A))</f>
        <v>#N/A</v>
      </c>
      <c r="C340" s="341" t="e">
        <f ca="1">IF(ISBLANK(N339),#N/A,IF(Em.tipo="Em del vapor",m10y*B339^10+m9y*B339^9+m8y*B339^8+m7y*B339^7+m6y*B339^6+m5y*B339^5+m4y*B339^4+m3y*B339^3+m2y*B339^2+m1y*B339^1+mby,V340))</f>
        <v>#N/A</v>
      </c>
      <c r="D340" s="341" t="e">
        <f ca="1">IF(ISBLANK(C340),,IF(Em.tipo="Em del vapor",(C340-N339)*Em+N339,(C340-B339)*Em+B339))</f>
        <v>#N/A</v>
      </c>
      <c r="E340" s="346"/>
      <c r="F340" s="346"/>
      <c r="G340" s="346"/>
      <c r="H340" s="346"/>
      <c r="I340" s="346"/>
      <c r="J340" s="346"/>
      <c r="K340" s="346"/>
      <c r="L340" s="346"/>
      <c r="M340" s="346"/>
      <c r="N340" s="43" t="e">
        <f ca="1">IF(Em.tipo="Em del vapor",IF(N339&lt;xD, D340,#N/A), IF(B339&gt;xW,N339,#N/A))</f>
        <v>#N/A</v>
      </c>
      <c r="O340" s="46"/>
      <c r="P340" s="382" t="e">
        <f ca="1">IF(AND(xW&lt;=B340,B340&lt;xD),IF(Em.tipo="Em del vapor",IF(D340&lt;Ago.yq,0,1),IF(B339&gt;Ago.xq,1,0)),)</f>
        <v>#N/A</v>
      </c>
      <c r="Q340" s="387" t="e">
        <f t="shared" ref="Q340" ca="1" si="209">N339</f>
        <v>#N/A</v>
      </c>
      <c r="R340" s="388" t="e">
        <f ca="1">INDEX(x.ascendente,MATCH(Q340,y.ascendente,1))</f>
        <v>#N/A</v>
      </c>
      <c r="S340" s="388" t="e">
        <f ca="1">INDEX(x.descendente,MATCH(Q340,y.descendente,-1))</f>
        <v>#N/A</v>
      </c>
      <c r="T340" s="388" t="e">
        <f ca="1">INDEX(y.ascendente,MATCH(Q340,y.ascendente,1))</f>
        <v>#N/A</v>
      </c>
      <c r="U340" s="388" t="e">
        <f ca="1">INDEX(y.descendente,MATCH(Q340,y.descendente,-1))</f>
        <v>#N/A</v>
      </c>
      <c r="V340" s="386" t="e">
        <f t="shared" ref="V340" ca="1" si="210">FORECAST(Q340,R340:S340,T340:U340)</f>
        <v>#N/A</v>
      </c>
    </row>
    <row r="341" spans="1:22" ht="12.75">
      <c r="A341" s="355"/>
      <c r="B341" s="43" t="e">
        <f ca="1">IF(IFERROR(N340,#N/A),IF(Em.tipo="Em del vapor",IF(D340&lt;Ago.yq,(D340-Ago.b)/Ago.m,(D340-En.b)/En.m),D340))</f>
        <v>#N/A</v>
      </c>
      <c r="C341" s="341"/>
      <c r="D341" s="341"/>
      <c r="E341" s="346"/>
      <c r="F341" s="346"/>
      <c r="G341" s="346"/>
      <c r="H341" s="346"/>
      <c r="I341" s="346"/>
      <c r="J341" s="346"/>
      <c r="K341" s="346"/>
      <c r="L341" s="346"/>
      <c r="M341" s="346"/>
      <c r="N341" s="44" t="e">
        <f ca="1">IF(Em.tipo="Em del vapor",IF(N339&lt;xD, D340,#N/A),IF(B339&gt;xW,IF(D340&gt;Ago.xq,En.m*D340+En.b,Ago.m*D340+Ago.b),#N/A))</f>
        <v>#N/A</v>
      </c>
      <c r="O341" s="46"/>
      <c r="P341" s="382"/>
      <c r="Q341" s="387"/>
      <c r="R341" s="388"/>
      <c r="S341" s="388"/>
      <c r="T341" s="388"/>
      <c r="U341" s="388"/>
      <c r="V341" s="386"/>
    </row>
    <row r="342" spans="1:22" ht="12.75">
      <c r="A342" s="355"/>
      <c r="B342" s="43" t="e">
        <f ca="1">IF(Em.tipo="Em del vapor",IF(N341&lt;xD, B341,#N/A), IF(B341&gt;xW,D342,#N/A))</f>
        <v>#N/A</v>
      </c>
      <c r="C342" s="341" t="e">
        <f ca="1">IF(ISBLANK(N341),#N/A,IF(Em.tipo="Em del vapor",m10y*B341^10+m9y*B341^9+m8y*B341^8+m7y*B341^7+m6y*B341^6+m5y*B341^5+m4y*B341^4+m3y*B341^3+m2y*B341^2+m1y*B341^1+mby,V342))</f>
        <v>#N/A</v>
      </c>
      <c r="D342" s="341" t="e">
        <f ca="1">IF(ISBLANK(C342),,IF(Em.tipo="Em del vapor",(C342-N341)*Em+N341,(C342-B341)*Em+B341))</f>
        <v>#N/A</v>
      </c>
      <c r="E342" s="346"/>
      <c r="F342" s="346"/>
      <c r="G342" s="346"/>
      <c r="H342" s="346"/>
      <c r="I342" s="346"/>
      <c r="J342" s="346"/>
      <c r="K342" s="346"/>
      <c r="L342" s="346"/>
      <c r="M342" s="346"/>
      <c r="N342" s="43" t="e">
        <f ca="1">IF(Em.tipo="Em del vapor",IF(N341&lt;xD, D342,#N/A), IF(B341&gt;xW,N341,#N/A))</f>
        <v>#N/A</v>
      </c>
      <c r="O342" s="46"/>
      <c r="P342" s="382" t="e">
        <f ca="1">IF(AND(xW&lt;=B342,B342&lt;xD),IF(Em.tipo="Em del vapor",IF(D342&lt;Ago.yq,0,1),IF(B341&gt;Ago.xq,1,0)),)</f>
        <v>#N/A</v>
      </c>
      <c r="Q342" s="387" t="e">
        <f t="shared" ref="Q342" ca="1" si="211">N341</f>
        <v>#N/A</v>
      </c>
      <c r="R342" s="388" t="e">
        <f ca="1">INDEX(x.ascendente,MATCH(Q342,y.ascendente,1))</f>
        <v>#N/A</v>
      </c>
      <c r="S342" s="388" t="e">
        <f ca="1">INDEX(x.descendente,MATCH(Q342,y.descendente,-1))</f>
        <v>#N/A</v>
      </c>
      <c r="T342" s="388" t="e">
        <f ca="1">INDEX(y.ascendente,MATCH(Q342,y.ascendente,1))</f>
        <v>#N/A</v>
      </c>
      <c r="U342" s="388" t="e">
        <f ca="1">INDEX(y.descendente,MATCH(Q342,y.descendente,-1))</f>
        <v>#N/A</v>
      </c>
      <c r="V342" s="386" t="e">
        <f t="shared" ref="V342" ca="1" si="212">FORECAST(Q342,R342:S342,T342:U342)</f>
        <v>#N/A</v>
      </c>
    </row>
    <row r="343" spans="1:22" ht="12.75">
      <c r="A343" s="355"/>
      <c r="B343" s="43" t="e">
        <f ca="1">IF(IFERROR(N342,#N/A),IF(Em.tipo="Em del vapor",IF(D342&lt;Ago.yq,(D342-Ago.b)/Ago.m,(D342-En.b)/En.m),D342))</f>
        <v>#N/A</v>
      </c>
      <c r="C343" s="341"/>
      <c r="D343" s="341"/>
      <c r="E343" s="346"/>
      <c r="F343" s="346"/>
      <c r="G343" s="346"/>
      <c r="H343" s="346"/>
      <c r="I343" s="346"/>
      <c r="J343" s="346"/>
      <c r="K343" s="346"/>
      <c r="L343" s="346"/>
      <c r="M343" s="346"/>
      <c r="N343" s="44" t="e">
        <f ca="1">IF(Em.tipo="Em del vapor",IF(N341&lt;xD, D342,#N/A),IF(B341&gt;xW,IF(D342&gt;Ago.xq,En.m*D342+En.b,Ago.m*D342+Ago.b),#N/A))</f>
        <v>#N/A</v>
      </c>
      <c r="O343" s="46"/>
      <c r="P343" s="382"/>
      <c r="Q343" s="387"/>
      <c r="R343" s="388"/>
      <c r="S343" s="388"/>
      <c r="T343" s="388"/>
      <c r="U343" s="388"/>
      <c r="V343" s="386"/>
    </row>
    <row r="344" spans="1:22" ht="12.75">
      <c r="A344" s="355"/>
      <c r="B344" s="43" t="e">
        <f ca="1">IF(Em.tipo="Em del vapor",IF(N343&lt;xD, B343,#N/A), IF(B343&gt;xW,D344,#N/A))</f>
        <v>#N/A</v>
      </c>
      <c r="C344" s="341" t="e">
        <f ca="1">IF(ISBLANK(N343),#N/A,IF(Em.tipo="Em del vapor",m10y*B343^10+m9y*B343^9+m8y*B343^8+m7y*B343^7+m6y*B343^6+m5y*B343^5+m4y*B343^4+m3y*B343^3+m2y*B343^2+m1y*B343^1+mby,V344))</f>
        <v>#N/A</v>
      </c>
      <c r="D344" s="341" t="e">
        <f ca="1">IF(ISBLANK(C344),,IF(Em.tipo="Em del vapor",(C344-N343)*Em+N343,(C344-B343)*Em+B343))</f>
        <v>#N/A</v>
      </c>
      <c r="E344" s="346"/>
      <c r="F344" s="346"/>
      <c r="G344" s="346"/>
      <c r="H344" s="346"/>
      <c r="I344" s="346"/>
      <c r="J344" s="346"/>
      <c r="K344" s="346"/>
      <c r="L344" s="346"/>
      <c r="M344" s="346"/>
      <c r="N344" s="43" t="e">
        <f ca="1">IF(Em.tipo="Em del vapor",IF(N343&lt;xD, D344,#N/A), IF(B343&gt;xW,N343,#N/A))</f>
        <v>#N/A</v>
      </c>
      <c r="O344" s="46"/>
      <c r="P344" s="382" t="e">
        <f ca="1">IF(AND(xW&lt;=B344,B344&lt;xD),IF(Em.tipo="Em del vapor",IF(D344&lt;Ago.yq,0,1),IF(B343&gt;Ago.xq,1,0)),)</f>
        <v>#N/A</v>
      </c>
      <c r="Q344" s="387" t="e">
        <f t="shared" ref="Q344" ca="1" si="213">N343</f>
        <v>#N/A</v>
      </c>
      <c r="R344" s="388" t="e">
        <f ca="1">INDEX(x.ascendente,MATCH(Q344,y.ascendente,1))</f>
        <v>#N/A</v>
      </c>
      <c r="S344" s="388" t="e">
        <f ca="1">INDEX(x.descendente,MATCH(Q344,y.descendente,-1))</f>
        <v>#N/A</v>
      </c>
      <c r="T344" s="388" t="e">
        <f ca="1">INDEX(y.ascendente,MATCH(Q344,y.ascendente,1))</f>
        <v>#N/A</v>
      </c>
      <c r="U344" s="388" t="e">
        <f ca="1">INDEX(y.descendente,MATCH(Q344,y.descendente,-1))</f>
        <v>#N/A</v>
      </c>
      <c r="V344" s="386" t="e">
        <f t="shared" ref="V344" ca="1" si="214">FORECAST(Q344,R344:S344,T344:U344)</f>
        <v>#N/A</v>
      </c>
    </row>
    <row r="345" spans="1:22" ht="12.75">
      <c r="A345" s="355"/>
      <c r="B345" s="43" t="e">
        <f ca="1">IF(IFERROR(N344,#N/A),IF(Em.tipo="Em del vapor",IF(D344&lt;Ago.yq,(D344-Ago.b)/Ago.m,(D344-En.b)/En.m),D344))</f>
        <v>#N/A</v>
      </c>
      <c r="C345" s="341"/>
      <c r="D345" s="341"/>
      <c r="E345" s="346"/>
      <c r="F345" s="346"/>
      <c r="G345" s="346"/>
      <c r="H345" s="346"/>
      <c r="I345" s="346"/>
      <c r="J345" s="346"/>
      <c r="K345" s="346"/>
      <c r="L345" s="346"/>
      <c r="M345" s="346"/>
      <c r="N345" s="44" t="e">
        <f ca="1">IF(Em.tipo="Em del vapor",IF(N343&lt;xD, D344,#N/A),IF(B343&gt;xW,IF(D344&gt;Ago.xq,En.m*D344+En.b,Ago.m*D344+Ago.b),#N/A))</f>
        <v>#N/A</v>
      </c>
      <c r="O345" s="46"/>
      <c r="P345" s="382"/>
      <c r="Q345" s="387"/>
      <c r="R345" s="388"/>
      <c r="S345" s="388"/>
      <c r="T345" s="388"/>
      <c r="U345" s="388"/>
      <c r="V345" s="386"/>
    </row>
    <row r="346" spans="1:22" ht="12.75">
      <c r="A346" s="355"/>
      <c r="B346" s="43" t="e">
        <f ca="1">IF(Em.tipo="Em del vapor",IF(N345&lt;xD, B345,#N/A), IF(B345&gt;xW,D346,#N/A))</f>
        <v>#N/A</v>
      </c>
      <c r="C346" s="341" t="e">
        <f ca="1">IF(ISBLANK(N345),#N/A,IF(Em.tipo="Em del vapor",m10y*B345^10+m9y*B345^9+m8y*B345^8+m7y*B345^7+m6y*B345^6+m5y*B345^5+m4y*B345^4+m3y*B345^3+m2y*B345^2+m1y*B345^1+mby,V346))</f>
        <v>#N/A</v>
      </c>
      <c r="D346" s="341" t="e">
        <f ca="1">IF(ISBLANK(C346),,IF(Em.tipo="Em del vapor",(C346-N345)*Em+N345,(C346-B345)*Em+B345))</f>
        <v>#N/A</v>
      </c>
      <c r="E346" s="346"/>
      <c r="F346" s="346"/>
      <c r="G346" s="346"/>
      <c r="H346" s="346"/>
      <c r="I346" s="346"/>
      <c r="J346" s="346"/>
      <c r="K346" s="346"/>
      <c r="L346" s="346"/>
      <c r="M346" s="346"/>
      <c r="N346" s="43" t="e">
        <f ca="1">IF(Em.tipo="Em del vapor",IF(N345&lt;xD, D346,#N/A), IF(B345&gt;xW,N345,#N/A))</f>
        <v>#N/A</v>
      </c>
      <c r="O346" s="46"/>
      <c r="P346" s="382" t="e">
        <f ca="1">IF(AND(xW&lt;=B346,B346&lt;xD),IF(Em.tipo="Em del vapor",IF(D346&lt;Ago.yq,0,1),IF(B345&gt;Ago.xq,1,0)),)</f>
        <v>#N/A</v>
      </c>
      <c r="Q346" s="387" t="e">
        <f t="shared" ref="Q346" ca="1" si="215">N345</f>
        <v>#N/A</v>
      </c>
      <c r="R346" s="388" t="e">
        <f ca="1">INDEX(x.ascendente,MATCH(Q346,y.ascendente,1))</f>
        <v>#N/A</v>
      </c>
      <c r="S346" s="388" t="e">
        <f ca="1">INDEX(x.descendente,MATCH(Q346,y.descendente,-1))</f>
        <v>#N/A</v>
      </c>
      <c r="T346" s="388" t="e">
        <f ca="1">INDEX(y.ascendente,MATCH(Q346,y.ascendente,1))</f>
        <v>#N/A</v>
      </c>
      <c r="U346" s="388" t="e">
        <f ca="1">INDEX(y.descendente,MATCH(Q346,y.descendente,-1))</f>
        <v>#N/A</v>
      </c>
      <c r="V346" s="386" t="e">
        <f t="shared" ref="V346" ca="1" si="216">FORECAST(Q346,R346:S346,T346:U346)</f>
        <v>#N/A</v>
      </c>
    </row>
    <row r="347" spans="1:22" ht="12.75">
      <c r="A347" s="355"/>
      <c r="B347" s="43" t="e">
        <f ca="1">IF(IFERROR(N346,#N/A),IF(Em.tipo="Em del vapor",IF(D346&lt;Ago.yq,(D346-Ago.b)/Ago.m,(D346-En.b)/En.m),D346))</f>
        <v>#N/A</v>
      </c>
      <c r="C347" s="341"/>
      <c r="D347" s="341"/>
      <c r="E347" s="346"/>
      <c r="F347" s="346"/>
      <c r="G347" s="346"/>
      <c r="H347" s="346"/>
      <c r="I347" s="346"/>
      <c r="J347" s="346"/>
      <c r="K347" s="346"/>
      <c r="L347" s="346"/>
      <c r="M347" s="346"/>
      <c r="N347" s="44" t="e">
        <f ca="1">IF(Em.tipo="Em del vapor",IF(N345&lt;xD, D346,#N/A),IF(B345&gt;xW,IF(D346&gt;Ago.xq,En.m*D346+En.b,Ago.m*D346+Ago.b),#N/A))</f>
        <v>#N/A</v>
      </c>
      <c r="O347" s="46"/>
      <c r="P347" s="382"/>
      <c r="Q347" s="387"/>
      <c r="R347" s="388"/>
      <c r="S347" s="388"/>
      <c r="T347" s="388"/>
      <c r="U347" s="388"/>
      <c r="V347" s="386"/>
    </row>
    <row r="348" spans="1:22" ht="12.75">
      <c r="A348" s="355"/>
      <c r="B348" s="43" t="e">
        <f ca="1">IF(Em.tipo="Em del vapor",IF(N347&lt;xD, B347,#N/A), IF(B347&gt;xW,D348,#N/A))</f>
        <v>#N/A</v>
      </c>
      <c r="C348" s="341" t="e">
        <f ca="1">IF(ISBLANK(N347),#N/A,IF(Em.tipo="Em del vapor",m10y*B347^10+m9y*B347^9+m8y*B347^8+m7y*B347^7+m6y*B347^6+m5y*B347^5+m4y*B347^4+m3y*B347^3+m2y*B347^2+m1y*B347^1+mby,V348))</f>
        <v>#N/A</v>
      </c>
      <c r="D348" s="341" t="e">
        <f ca="1">IF(ISBLANK(C348),,IF(Em.tipo="Em del vapor",(C348-N347)*Em+N347,(C348-B347)*Em+B347))</f>
        <v>#N/A</v>
      </c>
      <c r="E348" s="346"/>
      <c r="F348" s="346"/>
      <c r="G348" s="346"/>
      <c r="H348" s="346"/>
      <c r="I348" s="346"/>
      <c r="J348" s="346"/>
      <c r="K348" s="346"/>
      <c r="L348" s="346"/>
      <c r="M348" s="346"/>
      <c r="N348" s="43" t="e">
        <f ca="1">IF(Em.tipo="Em del vapor",IF(N347&lt;xD, D348,#N/A), IF(B347&gt;xW,N347,#N/A))</f>
        <v>#N/A</v>
      </c>
      <c r="O348" s="46"/>
      <c r="P348" s="382" t="e">
        <f ca="1">IF(AND(xW&lt;=B348,B348&lt;xD),IF(Em.tipo="Em del vapor",IF(D348&lt;Ago.yq,0,1),IF(B347&gt;Ago.xq,1,0)),)</f>
        <v>#N/A</v>
      </c>
      <c r="Q348" s="387" t="e">
        <f t="shared" ref="Q348" ca="1" si="217">N347</f>
        <v>#N/A</v>
      </c>
      <c r="R348" s="388" t="e">
        <f ca="1">INDEX(x.ascendente,MATCH(Q348,y.ascendente,1))</f>
        <v>#N/A</v>
      </c>
      <c r="S348" s="388" t="e">
        <f ca="1">INDEX(x.descendente,MATCH(Q348,y.descendente,-1))</f>
        <v>#N/A</v>
      </c>
      <c r="T348" s="388" t="e">
        <f ca="1">INDEX(y.ascendente,MATCH(Q348,y.ascendente,1))</f>
        <v>#N/A</v>
      </c>
      <c r="U348" s="388" t="e">
        <f ca="1">INDEX(y.descendente,MATCH(Q348,y.descendente,-1))</f>
        <v>#N/A</v>
      </c>
      <c r="V348" s="386" t="e">
        <f t="shared" ref="V348" ca="1" si="218">FORECAST(Q348,R348:S348,T348:U348)</f>
        <v>#N/A</v>
      </c>
    </row>
    <row r="349" spans="1:22" ht="12.75">
      <c r="A349" s="355"/>
      <c r="B349" s="43" t="e">
        <f ca="1">IF(IFERROR(N348,#N/A),IF(Em.tipo="Em del vapor",IF(D348&lt;Ago.yq,(D348-Ago.b)/Ago.m,(D348-En.b)/En.m),D348))</f>
        <v>#N/A</v>
      </c>
      <c r="C349" s="341"/>
      <c r="D349" s="341"/>
      <c r="E349" s="346"/>
      <c r="F349" s="346"/>
      <c r="G349" s="346"/>
      <c r="H349" s="346"/>
      <c r="I349" s="346"/>
      <c r="J349" s="346"/>
      <c r="K349" s="346"/>
      <c r="L349" s="346"/>
      <c r="M349" s="346"/>
      <c r="N349" s="44" t="e">
        <f ca="1">IF(Em.tipo="Em del vapor",IF(N347&lt;xD, D348,#N/A),IF(B347&gt;xW,IF(D348&gt;Ago.xq,En.m*D348+En.b,Ago.m*D348+Ago.b),#N/A))</f>
        <v>#N/A</v>
      </c>
      <c r="O349" s="46"/>
      <c r="P349" s="382"/>
      <c r="Q349" s="387"/>
      <c r="R349" s="388"/>
      <c r="S349" s="388"/>
      <c r="T349" s="388"/>
      <c r="U349" s="388"/>
      <c r="V349" s="386"/>
    </row>
    <row r="350" spans="1:22" ht="12.75">
      <c r="A350" s="355"/>
      <c r="B350" s="43" t="e">
        <f ca="1">IF(Em.tipo="Em del vapor",IF(N349&lt;xD, B349,#N/A), IF(B349&gt;xW,D350,#N/A))</f>
        <v>#N/A</v>
      </c>
      <c r="C350" s="341" t="e">
        <f ca="1">IF(ISBLANK(N349),#N/A,IF(Em.tipo="Em del vapor",m10y*B349^10+m9y*B349^9+m8y*B349^8+m7y*B349^7+m6y*B349^6+m5y*B349^5+m4y*B349^4+m3y*B349^3+m2y*B349^2+m1y*B349^1+mby,V350))</f>
        <v>#N/A</v>
      </c>
      <c r="D350" s="341" t="e">
        <f ca="1">IF(ISBLANK(C350),,IF(Em.tipo="Em del vapor",(C350-N349)*Em+N349,(C350-B349)*Em+B349))</f>
        <v>#N/A</v>
      </c>
      <c r="E350" s="346"/>
      <c r="F350" s="346"/>
      <c r="G350" s="346"/>
      <c r="H350" s="346"/>
      <c r="I350" s="346"/>
      <c r="J350" s="346"/>
      <c r="K350" s="346"/>
      <c r="L350" s="346"/>
      <c r="M350" s="346"/>
      <c r="N350" s="43" t="e">
        <f ca="1">IF(Em.tipo="Em del vapor",IF(N349&lt;xD, D350,#N/A), IF(B349&gt;xW,N349,#N/A))</f>
        <v>#N/A</v>
      </c>
      <c r="O350" s="46"/>
      <c r="P350" s="382" t="e">
        <f ca="1">IF(AND(xW&lt;=B350,B350&lt;xD),IF(Em.tipo="Em del vapor",IF(D350&lt;Ago.yq,0,1),IF(B349&gt;Ago.xq,1,0)),)</f>
        <v>#N/A</v>
      </c>
      <c r="Q350" s="387" t="e">
        <f t="shared" ref="Q350" ca="1" si="219">N349</f>
        <v>#N/A</v>
      </c>
      <c r="R350" s="388" t="e">
        <f ca="1">INDEX(x.ascendente,MATCH(Q350,y.ascendente,1))</f>
        <v>#N/A</v>
      </c>
      <c r="S350" s="388" t="e">
        <f ca="1">INDEX(x.descendente,MATCH(Q350,y.descendente,-1))</f>
        <v>#N/A</v>
      </c>
      <c r="T350" s="388" t="e">
        <f ca="1">INDEX(y.ascendente,MATCH(Q350,y.ascendente,1))</f>
        <v>#N/A</v>
      </c>
      <c r="U350" s="388" t="e">
        <f ca="1">INDEX(y.descendente,MATCH(Q350,y.descendente,-1))</f>
        <v>#N/A</v>
      </c>
      <c r="V350" s="386" t="e">
        <f t="shared" ref="V350" ca="1" si="220">FORECAST(Q350,R350:S350,T350:U350)</f>
        <v>#N/A</v>
      </c>
    </row>
    <row r="351" spans="1:22" ht="12.75">
      <c r="A351" s="355"/>
      <c r="B351" s="43" t="e">
        <f ca="1">IF(IFERROR(N350,#N/A),IF(Em.tipo="Em del vapor",IF(D350&lt;Ago.yq,(D350-Ago.b)/Ago.m,(D350-En.b)/En.m),D350))</f>
        <v>#N/A</v>
      </c>
      <c r="C351" s="341"/>
      <c r="D351" s="341"/>
      <c r="E351" s="346"/>
      <c r="F351" s="346"/>
      <c r="G351" s="346"/>
      <c r="H351" s="346"/>
      <c r="I351" s="346"/>
      <c r="J351" s="346"/>
      <c r="K351" s="346"/>
      <c r="L351" s="346"/>
      <c r="M351" s="346"/>
      <c r="N351" s="44" t="e">
        <f ca="1">IF(Em.tipo="Em del vapor",IF(N349&lt;xD, D350,#N/A),IF(B349&gt;xW,IF(D350&gt;Ago.xq,En.m*D350+En.b,Ago.m*D350+Ago.b),#N/A))</f>
        <v>#N/A</v>
      </c>
      <c r="O351" s="46"/>
      <c r="P351" s="382"/>
      <c r="Q351" s="387"/>
      <c r="R351" s="388"/>
      <c r="S351" s="388"/>
      <c r="T351" s="388"/>
      <c r="U351" s="388"/>
      <c r="V351" s="386"/>
    </row>
    <row r="352" spans="1:22" ht="12.75">
      <c r="A352" s="355"/>
      <c r="B352" s="43" t="e">
        <f ca="1">IF(Em.tipo="Em del vapor",IF(N351&lt;xD, B351,#N/A), IF(B351&gt;xW,D352,#N/A))</f>
        <v>#N/A</v>
      </c>
      <c r="C352" s="341" t="e">
        <f ca="1">IF(ISBLANK(N351),#N/A,IF(Em.tipo="Em del vapor",m10y*B351^10+m9y*B351^9+m8y*B351^8+m7y*B351^7+m6y*B351^6+m5y*B351^5+m4y*B351^4+m3y*B351^3+m2y*B351^2+m1y*B351^1+mby,V352))</f>
        <v>#N/A</v>
      </c>
      <c r="D352" s="341" t="e">
        <f ca="1">IF(ISBLANK(C352),,IF(Em.tipo="Em del vapor",(C352-N351)*Em+N351,(C352-B351)*Em+B351))</f>
        <v>#N/A</v>
      </c>
      <c r="E352" s="346"/>
      <c r="F352" s="346"/>
      <c r="G352" s="346"/>
      <c r="H352" s="346"/>
      <c r="I352" s="346"/>
      <c r="J352" s="346"/>
      <c r="K352" s="346"/>
      <c r="L352" s="346"/>
      <c r="M352" s="346"/>
      <c r="N352" s="43" t="e">
        <f ca="1">IF(Em.tipo="Em del vapor",IF(N351&lt;xD, D352,#N/A), IF(B351&gt;xW,N351,#N/A))</f>
        <v>#N/A</v>
      </c>
      <c r="O352" s="46"/>
      <c r="P352" s="382" t="e">
        <f ca="1">IF(AND(xW&lt;=B352,B352&lt;xD),IF(Em.tipo="Em del vapor",IF(D352&lt;Ago.yq,0,1),IF(B351&gt;Ago.xq,1,0)),)</f>
        <v>#N/A</v>
      </c>
      <c r="Q352" s="387" t="e">
        <f t="shared" ref="Q352" ca="1" si="221">N351</f>
        <v>#N/A</v>
      </c>
      <c r="R352" s="388" t="e">
        <f ca="1">INDEX(x.ascendente,MATCH(Q352,y.ascendente,1))</f>
        <v>#N/A</v>
      </c>
      <c r="S352" s="388" t="e">
        <f ca="1">INDEX(x.descendente,MATCH(Q352,y.descendente,-1))</f>
        <v>#N/A</v>
      </c>
      <c r="T352" s="388" t="e">
        <f ca="1">INDEX(y.ascendente,MATCH(Q352,y.ascendente,1))</f>
        <v>#N/A</v>
      </c>
      <c r="U352" s="388" t="e">
        <f ca="1">INDEX(y.descendente,MATCH(Q352,y.descendente,-1))</f>
        <v>#N/A</v>
      </c>
      <c r="V352" s="386" t="e">
        <f t="shared" ref="V352" ca="1" si="222">FORECAST(Q352,R352:S352,T352:U352)</f>
        <v>#N/A</v>
      </c>
    </row>
    <row r="353" spans="1:22" ht="12.75">
      <c r="A353" s="355"/>
      <c r="B353" s="43" t="e">
        <f ca="1">IF(IFERROR(N352,#N/A),IF(Em.tipo="Em del vapor",IF(D352&lt;Ago.yq,(D352-Ago.b)/Ago.m,(D352-En.b)/En.m),D352))</f>
        <v>#N/A</v>
      </c>
      <c r="C353" s="341"/>
      <c r="D353" s="341"/>
      <c r="E353" s="346"/>
      <c r="F353" s="346"/>
      <c r="G353" s="346"/>
      <c r="H353" s="346"/>
      <c r="I353" s="346"/>
      <c r="J353" s="346"/>
      <c r="K353" s="346"/>
      <c r="L353" s="346"/>
      <c r="M353" s="346"/>
      <c r="N353" s="44" t="e">
        <f ca="1">IF(Em.tipo="Em del vapor",IF(N351&lt;xD, D352,#N/A),IF(B351&gt;xW,IF(D352&gt;Ago.xq,En.m*D352+En.b,Ago.m*D352+Ago.b),#N/A))</f>
        <v>#N/A</v>
      </c>
      <c r="O353" s="46"/>
      <c r="P353" s="382"/>
      <c r="Q353" s="387"/>
      <c r="R353" s="388"/>
      <c r="S353" s="388"/>
      <c r="T353" s="388"/>
      <c r="U353" s="388"/>
      <c r="V353" s="386"/>
    </row>
    <row r="354" spans="1:22" ht="12.75">
      <c r="A354" s="355"/>
      <c r="B354" s="43" t="e">
        <f ca="1">IF(Em.tipo="Em del vapor",IF(N353&lt;xD, B353,#N/A), IF(B353&gt;xW,D354,#N/A))</f>
        <v>#N/A</v>
      </c>
      <c r="C354" s="341" t="e">
        <f ca="1">IF(ISBLANK(N353),#N/A,IF(Em.tipo="Em del vapor",m10y*B353^10+m9y*B353^9+m8y*B353^8+m7y*B353^7+m6y*B353^6+m5y*B353^5+m4y*B353^4+m3y*B353^3+m2y*B353^2+m1y*B353^1+mby,V354))</f>
        <v>#N/A</v>
      </c>
      <c r="D354" s="341" t="e">
        <f ca="1">IF(ISBLANK(C354),,IF(Em.tipo="Em del vapor",(C354-N353)*Em+N353,(C354-B353)*Em+B353))</f>
        <v>#N/A</v>
      </c>
      <c r="E354" s="346"/>
      <c r="F354" s="346"/>
      <c r="G354" s="346"/>
      <c r="H354" s="346"/>
      <c r="I354" s="346"/>
      <c r="J354" s="346"/>
      <c r="K354" s="346"/>
      <c r="L354" s="346"/>
      <c r="M354" s="346"/>
      <c r="N354" s="43" t="e">
        <f ca="1">IF(Em.tipo="Em del vapor",IF(N353&lt;xD, D354,#N/A), IF(B353&gt;xW,N353,#N/A))</f>
        <v>#N/A</v>
      </c>
      <c r="O354" s="46"/>
      <c r="P354" s="382" t="e">
        <f ca="1">IF(AND(xW&lt;=B354,B354&lt;xD),IF(Em.tipo="Em del vapor",IF(D354&lt;Ago.yq,0,1),IF(B353&gt;Ago.xq,1,0)),)</f>
        <v>#N/A</v>
      </c>
      <c r="Q354" s="387" t="e">
        <f t="shared" ref="Q354" ca="1" si="223">N353</f>
        <v>#N/A</v>
      </c>
      <c r="R354" s="388" t="e">
        <f ca="1">INDEX(x.ascendente,MATCH(Q354,y.ascendente,1))</f>
        <v>#N/A</v>
      </c>
      <c r="S354" s="388" t="e">
        <f ca="1">INDEX(x.descendente,MATCH(Q354,y.descendente,-1))</f>
        <v>#N/A</v>
      </c>
      <c r="T354" s="388" t="e">
        <f ca="1">INDEX(y.ascendente,MATCH(Q354,y.ascendente,1))</f>
        <v>#N/A</v>
      </c>
      <c r="U354" s="388" t="e">
        <f ca="1">INDEX(y.descendente,MATCH(Q354,y.descendente,-1))</f>
        <v>#N/A</v>
      </c>
      <c r="V354" s="386" t="e">
        <f t="shared" ref="V354" ca="1" si="224">FORECAST(Q354,R354:S354,T354:U354)</f>
        <v>#N/A</v>
      </c>
    </row>
    <row r="355" spans="1:22" ht="12.75">
      <c r="A355" s="355"/>
      <c r="B355" s="43" t="e">
        <f ca="1">IF(IFERROR(N354,#N/A),IF(Em.tipo="Em del vapor",IF(D354&lt;Ago.yq,(D354-Ago.b)/Ago.m,(D354-En.b)/En.m),D354))</f>
        <v>#N/A</v>
      </c>
      <c r="C355" s="341"/>
      <c r="D355" s="341"/>
      <c r="E355" s="346"/>
      <c r="F355" s="346"/>
      <c r="G355" s="346"/>
      <c r="H355" s="346"/>
      <c r="I355" s="346"/>
      <c r="J355" s="346"/>
      <c r="K355" s="346"/>
      <c r="L355" s="346"/>
      <c r="M355" s="346"/>
      <c r="N355" s="44" t="e">
        <f ca="1">IF(Em.tipo="Em del vapor",IF(N353&lt;xD, D354,#N/A),IF(B353&gt;xW,IF(D354&gt;Ago.xq,En.m*D354+En.b,Ago.m*D354+Ago.b),#N/A))</f>
        <v>#N/A</v>
      </c>
      <c r="O355" s="46"/>
      <c r="P355" s="382"/>
      <c r="Q355" s="387"/>
      <c r="R355" s="388"/>
      <c r="S355" s="388"/>
      <c r="T355" s="388"/>
      <c r="U355" s="388"/>
      <c r="V355" s="386"/>
    </row>
    <row r="356" spans="1:22" ht="12.75">
      <c r="A356" s="355"/>
      <c r="B356" s="43" t="e">
        <f ca="1">IF(Em.tipo="Em del vapor",IF(N355&lt;xD, B355,#N/A), IF(B355&gt;xW,D356,#N/A))</f>
        <v>#N/A</v>
      </c>
      <c r="C356" s="341" t="e">
        <f ca="1">IF(ISBLANK(N355),#N/A,IF(Em.tipo="Em del vapor",m10y*B355^10+m9y*B355^9+m8y*B355^8+m7y*B355^7+m6y*B355^6+m5y*B355^5+m4y*B355^4+m3y*B355^3+m2y*B355^2+m1y*B355^1+mby,V356))</f>
        <v>#N/A</v>
      </c>
      <c r="D356" s="341" t="e">
        <f ca="1">IF(ISBLANK(C356),,IF(Em.tipo="Em del vapor",(C356-N355)*Em+N355,(C356-B355)*Em+B355))</f>
        <v>#N/A</v>
      </c>
      <c r="E356" s="346"/>
      <c r="F356" s="346"/>
      <c r="G356" s="346"/>
      <c r="H356" s="346"/>
      <c r="I356" s="346"/>
      <c r="J356" s="346"/>
      <c r="K356" s="346"/>
      <c r="L356" s="346"/>
      <c r="M356" s="346"/>
      <c r="N356" s="43" t="e">
        <f ca="1">IF(Em.tipo="Em del vapor",IF(N355&lt;xD, D356,#N/A), IF(B355&gt;xW,N355,#N/A))</f>
        <v>#N/A</v>
      </c>
      <c r="O356" s="46"/>
      <c r="P356" s="382" t="e">
        <f ca="1">IF(AND(xW&lt;=B356,B356&lt;xD),IF(Em.tipo="Em del vapor",IF(D356&lt;Ago.yq,0,1),IF(B355&gt;Ago.xq,1,0)),)</f>
        <v>#N/A</v>
      </c>
      <c r="Q356" s="387" t="e">
        <f t="shared" ref="Q356" ca="1" si="225">N355</f>
        <v>#N/A</v>
      </c>
      <c r="R356" s="388" t="e">
        <f ca="1">INDEX(x.ascendente,MATCH(Q356,y.ascendente,1))</f>
        <v>#N/A</v>
      </c>
      <c r="S356" s="388" t="e">
        <f ca="1">INDEX(x.descendente,MATCH(Q356,y.descendente,-1))</f>
        <v>#N/A</v>
      </c>
      <c r="T356" s="388" t="e">
        <f ca="1">INDEX(y.ascendente,MATCH(Q356,y.ascendente,1))</f>
        <v>#N/A</v>
      </c>
      <c r="U356" s="388" t="e">
        <f ca="1">INDEX(y.descendente,MATCH(Q356,y.descendente,-1))</f>
        <v>#N/A</v>
      </c>
      <c r="V356" s="386" t="e">
        <f t="shared" ref="V356" ca="1" si="226">FORECAST(Q356,R356:S356,T356:U356)</f>
        <v>#N/A</v>
      </c>
    </row>
    <row r="357" spans="1:22" ht="12.75">
      <c r="A357" s="355"/>
      <c r="B357" s="43" t="e">
        <f ca="1">IF(IFERROR(N356,#N/A),IF(Em.tipo="Em del vapor",IF(D356&lt;Ago.yq,(D356-Ago.b)/Ago.m,(D356-En.b)/En.m),D356))</f>
        <v>#N/A</v>
      </c>
      <c r="C357" s="341"/>
      <c r="D357" s="341"/>
      <c r="E357" s="346"/>
      <c r="F357" s="346"/>
      <c r="G357" s="346"/>
      <c r="H357" s="346"/>
      <c r="I357" s="346"/>
      <c r="J357" s="346"/>
      <c r="K357" s="346"/>
      <c r="L357" s="346"/>
      <c r="M357" s="346"/>
      <c r="N357" s="44" t="e">
        <f ca="1">IF(Em.tipo="Em del vapor",IF(N355&lt;xD, D356,#N/A),IF(B355&gt;xW,IF(D356&gt;Ago.xq,En.m*D356+En.b,Ago.m*D356+Ago.b),#N/A))</f>
        <v>#N/A</v>
      </c>
      <c r="O357" s="46"/>
      <c r="P357" s="382"/>
      <c r="Q357" s="387"/>
      <c r="R357" s="388"/>
      <c r="S357" s="388"/>
      <c r="T357" s="388"/>
      <c r="U357" s="388"/>
      <c r="V357" s="386"/>
    </row>
    <row r="358" spans="1:22" ht="12.75">
      <c r="A358" s="355"/>
      <c r="B358" s="43" t="e">
        <f ca="1">IF(Em.tipo="Em del vapor",IF(N357&lt;xD, B357,#N/A), IF(B357&gt;xW,D358,#N/A))</f>
        <v>#N/A</v>
      </c>
      <c r="C358" s="341" t="e">
        <f ca="1">IF(ISBLANK(N357),#N/A,IF(Em.tipo="Em del vapor",m10y*B357^10+m9y*B357^9+m8y*B357^8+m7y*B357^7+m6y*B357^6+m5y*B357^5+m4y*B357^4+m3y*B357^3+m2y*B357^2+m1y*B357^1+mby,V358))</f>
        <v>#N/A</v>
      </c>
      <c r="D358" s="341" t="e">
        <f ca="1">IF(ISBLANK(C358),,IF(Em.tipo="Em del vapor",(C358-N357)*Em+N357,(C358-B357)*Em+B357))</f>
        <v>#N/A</v>
      </c>
      <c r="E358" s="346"/>
      <c r="F358" s="346"/>
      <c r="G358" s="346"/>
      <c r="H358" s="346"/>
      <c r="I358" s="346"/>
      <c r="J358" s="346"/>
      <c r="K358" s="346"/>
      <c r="L358" s="346"/>
      <c r="M358" s="346"/>
      <c r="N358" s="43" t="e">
        <f ca="1">IF(Em.tipo="Em del vapor",IF(N357&lt;xD, D358,#N/A), IF(B357&gt;xW,N357,#N/A))</f>
        <v>#N/A</v>
      </c>
      <c r="O358" s="46"/>
      <c r="P358" s="382" t="e">
        <f ca="1">IF(AND(xW&lt;=B358,B358&lt;xD),IF(Em.tipo="Em del vapor",IF(D358&lt;Ago.yq,0,1),IF(B357&gt;Ago.xq,1,0)),)</f>
        <v>#N/A</v>
      </c>
      <c r="Q358" s="387" t="e">
        <f t="shared" ref="Q358" ca="1" si="227">N357</f>
        <v>#N/A</v>
      </c>
      <c r="R358" s="388" t="e">
        <f ca="1">INDEX(x.ascendente,MATCH(Q358,y.ascendente,1))</f>
        <v>#N/A</v>
      </c>
      <c r="S358" s="388" t="e">
        <f ca="1">INDEX(x.descendente,MATCH(Q358,y.descendente,-1))</f>
        <v>#N/A</v>
      </c>
      <c r="T358" s="388" t="e">
        <f ca="1">INDEX(y.ascendente,MATCH(Q358,y.ascendente,1))</f>
        <v>#N/A</v>
      </c>
      <c r="U358" s="388" t="e">
        <f ca="1">INDEX(y.descendente,MATCH(Q358,y.descendente,-1))</f>
        <v>#N/A</v>
      </c>
      <c r="V358" s="386" t="e">
        <f t="shared" ref="V358" ca="1" si="228">FORECAST(Q358,R358:S358,T358:U358)</f>
        <v>#N/A</v>
      </c>
    </row>
    <row r="359" spans="1:22" ht="12.75">
      <c r="A359" s="355"/>
      <c r="B359" s="43" t="e">
        <f ca="1">IF(IFERROR(N358,#N/A),IF(Em.tipo="Em del vapor",IF(D358&lt;Ago.yq,(D358-Ago.b)/Ago.m,(D358-En.b)/En.m),D358))</f>
        <v>#N/A</v>
      </c>
      <c r="C359" s="341"/>
      <c r="D359" s="341"/>
      <c r="E359" s="346"/>
      <c r="F359" s="346"/>
      <c r="G359" s="346"/>
      <c r="H359" s="346"/>
      <c r="I359" s="346"/>
      <c r="J359" s="346"/>
      <c r="K359" s="346"/>
      <c r="L359" s="346"/>
      <c r="M359" s="346"/>
      <c r="N359" s="44" t="e">
        <f ca="1">IF(Em.tipo="Em del vapor",IF(N357&lt;xD, D358,#N/A),IF(B357&gt;xW,IF(D358&gt;Ago.xq,En.m*D358+En.b,Ago.m*D358+Ago.b),#N/A))</f>
        <v>#N/A</v>
      </c>
      <c r="O359" s="46"/>
      <c r="P359" s="382"/>
      <c r="Q359" s="387"/>
      <c r="R359" s="388"/>
      <c r="S359" s="388"/>
      <c r="T359" s="388"/>
      <c r="U359" s="388"/>
      <c r="V359" s="386"/>
    </row>
    <row r="360" spans="1:22" ht="12.75">
      <c r="A360" s="355"/>
      <c r="B360" s="43" t="e">
        <f ca="1">IF(Em.tipo="Em del vapor",IF(N359&lt;xD, B359,#N/A), IF(B359&gt;xW,D360,#N/A))</f>
        <v>#N/A</v>
      </c>
      <c r="C360" s="341" t="e">
        <f ca="1">IF(ISBLANK(N359),#N/A,IF(Em.tipo="Em del vapor",m10y*B359^10+m9y*B359^9+m8y*B359^8+m7y*B359^7+m6y*B359^6+m5y*B359^5+m4y*B359^4+m3y*B359^3+m2y*B359^2+m1y*B359^1+mby,V360))</f>
        <v>#N/A</v>
      </c>
      <c r="D360" s="341" t="e">
        <f ca="1">IF(ISBLANK(C360),,IF(Em.tipo="Em del vapor",(C360-N359)*Em+N359,(C360-B359)*Em+B359))</f>
        <v>#N/A</v>
      </c>
      <c r="E360" s="346"/>
      <c r="F360" s="346"/>
      <c r="G360" s="346"/>
      <c r="H360" s="346"/>
      <c r="I360" s="346"/>
      <c r="J360" s="346"/>
      <c r="K360" s="346"/>
      <c r="L360" s="346"/>
      <c r="M360" s="346"/>
      <c r="N360" s="43" t="e">
        <f ca="1">IF(Em.tipo="Em del vapor",IF(N359&lt;xD, D360,#N/A), IF(B359&gt;xW,N359,#N/A))</f>
        <v>#N/A</v>
      </c>
      <c r="O360" s="46"/>
      <c r="P360" s="382" t="e">
        <f ca="1">IF(AND(xW&lt;=B360,B360&lt;xD),IF(Em.tipo="Em del vapor",IF(D360&lt;Ago.yq,0,1),IF(B359&gt;Ago.xq,1,0)),)</f>
        <v>#N/A</v>
      </c>
      <c r="Q360" s="387" t="e">
        <f t="shared" ref="Q360" ca="1" si="229">N359</f>
        <v>#N/A</v>
      </c>
      <c r="R360" s="388" t="e">
        <f ca="1">INDEX(x.ascendente,MATCH(Q360,y.ascendente,1))</f>
        <v>#N/A</v>
      </c>
      <c r="S360" s="388" t="e">
        <f ca="1">INDEX(x.descendente,MATCH(Q360,y.descendente,-1))</f>
        <v>#N/A</v>
      </c>
      <c r="T360" s="388" t="e">
        <f ca="1">INDEX(y.ascendente,MATCH(Q360,y.ascendente,1))</f>
        <v>#N/A</v>
      </c>
      <c r="U360" s="388" t="e">
        <f ca="1">INDEX(y.descendente,MATCH(Q360,y.descendente,-1))</f>
        <v>#N/A</v>
      </c>
      <c r="V360" s="386" t="e">
        <f t="shared" ref="V360" ca="1" si="230">FORECAST(Q360,R360:S360,T360:U360)</f>
        <v>#N/A</v>
      </c>
    </row>
    <row r="361" spans="1:22" ht="12.75">
      <c r="A361" s="355"/>
      <c r="B361" s="43" t="e">
        <f ca="1">IF(IFERROR(N360,#N/A),IF(Em.tipo="Em del vapor",IF(D360&lt;Ago.yq,(D360-Ago.b)/Ago.m,(D360-En.b)/En.m),D360))</f>
        <v>#N/A</v>
      </c>
      <c r="C361" s="341"/>
      <c r="D361" s="341"/>
      <c r="E361" s="346"/>
      <c r="F361" s="346"/>
      <c r="G361" s="346"/>
      <c r="H361" s="346"/>
      <c r="I361" s="346"/>
      <c r="J361" s="346"/>
      <c r="K361" s="346"/>
      <c r="L361" s="346"/>
      <c r="M361" s="346"/>
      <c r="N361" s="44" t="e">
        <f ca="1">IF(Em.tipo="Em del vapor",IF(N359&lt;xD, D360,#N/A),IF(B359&gt;xW,IF(D360&gt;Ago.xq,En.m*D360+En.b,Ago.m*D360+Ago.b),#N/A))</f>
        <v>#N/A</v>
      </c>
      <c r="O361" s="46"/>
      <c r="P361" s="382"/>
      <c r="Q361" s="387"/>
      <c r="R361" s="388"/>
      <c r="S361" s="388"/>
      <c r="T361" s="388"/>
      <c r="U361" s="388"/>
      <c r="V361" s="386"/>
    </row>
    <row r="362" spans="1:22" ht="12.75">
      <c r="A362" s="355"/>
      <c r="B362" s="43" t="e">
        <f ca="1">IF(Em.tipo="Em del vapor",IF(N361&lt;xD, B361,#N/A), IF(B361&gt;xW,D362,#N/A))</f>
        <v>#N/A</v>
      </c>
      <c r="C362" s="341" t="e">
        <f ca="1">IF(ISBLANK(N361),#N/A,IF(Em.tipo="Em del vapor",m10y*B361^10+m9y*B361^9+m8y*B361^8+m7y*B361^7+m6y*B361^6+m5y*B361^5+m4y*B361^4+m3y*B361^3+m2y*B361^2+m1y*B361^1+mby,V362))</f>
        <v>#N/A</v>
      </c>
      <c r="D362" s="341" t="e">
        <f ca="1">IF(ISBLANK(C362),,IF(Em.tipo="Em del vapor",(C362-N361)*Em+N361,(C362-B361)*Em+B361))</f>
        <v>#N/A</v>
      </c>
      <c r="E362" s="346"/>
      <c r="F362" s="346"/>
      <c r="G362" s="346"/>
      <c r="H362" s="346"/>
      <c r="I362" s="346"/>
      <c r="J362" s="346"/>
      <c r="K362" s="346"/>
      <c r="L362" s="346"/>
      <c r="M362" s="346"/>
      <c r="N362" s="43" t="e">
        <f ca="1">IF(Em.tipo="Em del vapor",IF(N361&lt;xD, D362,#N/A), IF(B361&gt;xW,N361,#N/A))</f>
        <v>#N/A</v>
      </c>
      <c r="O362" s="46"/>
      <c r="P362" s="382" t="e">
        <f ca="1">IF(AND(xW&lt;=B362,B362&lt;xD),IF(Em.tipo="Em del vapor",IF(D362&lt;Ago.yq,0,1),IF(B361&gt;Ago.xq,1,0)),)</f>
        <v>#N/A</v>
      </c>
      <c r="Q362" s="387" t="e">
        <f t="shared" ref="Q362" ca="1" si="231">N361</f>
        <v>#N/A</v>
      </c>
      <c r="R362" s="388" t="e">
        <f ca="1">INDEX(x.ascendente,MATCH(Q362,y.ascendente,1))</f>
        <v>#N/A</v>
      </c>
      <c r="S362" s="388" t="e">
        <f ca="1">INDEX(x.descendente,MATCH(Q362,y.descendente,-1))</f>
        <v>#N/A</v>
      </c>
      <c r="T362" s="388" t="e">
        <f ca="1">INDEX(y.ascendente,MATCH(Q362,y.ascendente,1))</f>
        <v>#N/A</v>
      </c>
      <c r="U362" s="388" t="e">
        <f ca="1">INDEX(y.descendente,MATCH(Q362,y.descendente,-1))</f>
        <v>#N/A</v>
      </c>
      <c r="V362" s="386" t="e">
        <f t="shared" ref="V362" ca="1" si="232">FORECAST(Q362,R362:S362,T362:U362)</f>
        <v>#N/A</v>
      </c>
    </row>
    <row r="363" spans="1:22" ht="12.75">
      <c r="A363" s="355"/>
      <c r="B363" s="43" t="e">
        <f ca="1">IF(IFERROR(N362,#N/A),IF(Em.tipo="Em del vapor",IF(D362&lt;Ago.yq,(D362-Ago.b)/Ago.m,(D362-En.b)/En.m),D362))</f>
        <v>#N/A</v>
      </c>
      <c r="C363" s="341"/>
      <c r="D363" s="341"/>
      <c r="E363" s="346"/>
      <c r="F363" s="346"/>
      <c r="G363" s="346"/>
      <c r="H363" s="346"/>
      <c r="I363" s="346"/>
      <c r="J363" s="346"/>
      <c r="K363" s="346"/>
      <c r="L363" s="346"/>
      <c r="M363" s="346"/>
      <c r="N363" s="44" t="e">
        <f ca="1">IF(Em.tipo="Em del vapor",IF(N361&lt;xD, D362,#N/A),IF(B361&gt;xW,IF(D362&gt;Ago.xq,En.m*D362+En.b,Ago.m*D362+Ago.b),#N/A))</f>
        <v>#N/A</v>
      </c>
      <c r="O363" s="46"/>
      <c r="P363" s="382"/>
      <c r="Q363" s="387"/>
      <c r="R363" s="388"/>
      <c r="S363" s="388"/>
      <c r="T363" s="388"/>
      <c r="U363" s="388"/>
      <c r="V363" s="386"/>
    </row>
    <row r="364" spans="1:22" ht="12.75">
      <c r="A364" s="355"/>
      <c r="B364" s="43" t="e">
        <f ca="1">IF(Em.tipo="Em del vapor",IF(N363&lt;xD, B363,#N/A), IF(B363&gt;xW,D364,#N/A))</f>
        <v>#N/A</v>
      </c>
      <c r="C364" s="341" t="e">
        <f ca="1">IF(ISBLANK(N363),#N/A,IF(Em.tipo="Em del vapor",m10y*B363^10+m9y*B363^9+m8y*B363^8+m7y*B363^7+m6y*B363^6+m5y*B363^5+m4y*B363^4+m3y*B363^3+m2y*B363^2+m1y*B363^1+mby,V364))</f>
        <v>#N/A</v>
      </c>
      <c r="D364" s="341" t="e">
        <f ca="1">IF(ISBLANK(C364),,IF(Em.tipo="Em del vapor",(C364-N363)*Em+N363,(C364-B363)*Em+B363))</f>
        <v>#N/A</v>
      </c>
      <c r="E364" s="346"/>
      <c r="F364" s="346"/>
      <c r="G364" s="346"/>
      <c r="H364" s="346"/>
      <c r="I364" s="346"/>
      <c r="J364" s="346"/>
      <c r="K364" s="346"/>
      <c r="L364" s="346"/>
      <c r="M364" s="346"/>
      <c r="N364" s="43" t="e">
        <f ca="1">IF(Em.tipo="Em del vapor",IF(N363&lt;xD, D364,#N/A), IF(B363&gt;xW,N363,#N/A))</f>
        <v>#N/A</v>
      </c>
      <c r="O364" s="46"/>
      <c r="P364" s="382" t="e">
        <f ca="1">IF(AND(xW&lt;=B364,B364&lt;xD),IF(Em.tipo="Em del vapor",IF(D364&lt;Ago.yq,0,1),IF(B363&gt;Ago.xq,1,0)),)</f>
        <v>#N/A</v>
      </c>
      <c r="Q364" s="387" t="e">
        <f t="shared" ref="Q364" ca="1" si="233">N363</f>
        <v>#N/A</v>
      </c>
      <c r="R364" s="388" t="e">
        <f ca="1">INDEX(x.ascendente,MATCH(Q364,y.ascendente,1))</f>
        <v>#N/A</v>
      </c>
      <c r="S364" s="388" t="e">
        <f ca="1">INDEX(x.descendente,MATCH(Q364,y.descendente,-1))</f>
        <v>#N/A</v>
      </c>
      <c r="T364" s="388" t="e">
        <f ca="1">INDEX(y.ascendente,MATCH(Q364,y.ascendente,1))</f>
        <v>#N/A</v>
      </c>
      <c r="U364" s="388" t="e">
        <f ca="1">INDEX(y.descendente,MATCH(Q364,y.descendente,-1))</f>
        <v>#N/A</v>
      </c>
      <c r="V364" s="386" t="e">
        <f t="shared" ref="V364" ca="1" si="234">FORECAST(Q364,R364:S364,T364:U364)</f>
        <v>#N/A</v>
      </c>
    </row>
    <row r="365" spans="1:22" ht="12.75">
      <c r="A365" s="355"/>
      <c r="B365" s="43" t="e">
        <f ca="1">IF(IFERROR(N364,#N/A),IF(Em.tipo="Em del vapor",IF(D364&lt;Ago.yq,(D364-Ago.b)/Ago.m,(D364-En.b)/En.m),D364))</f>
        <v>#N/A</v>
      </c>
      <c r="C365" s="341"/>
      <c r="D365" s="341"/>
      <c r="E365" s="346"/>
      <c r="F365" s="346"/>
      <c r="G365" s="346"/>
      <c r="H365" s="346"/>
      <c r="I365" s="346"/>
      <c r="J365" s="346"/>
      <c r="K365" s="346"/>
      <c r="L365" s="346"/>
      <c r="M365" s="346"/>
      <c r="N365" s="44" t="e">
        <f ca="1">IF(Em.tipo="Em del vapor",IF(N363&lt;xD, D364,#N/A),IF(B363&gt;xW,IF(D364&gt;Ago.xq,En.m*D364+En.b,Ago.m*D364+Ago.b),#N/A))</f>
        <v>#N/A</v>
      </c>
      <c r="O365" s="46"/>
      <c r="P365" s="382"/>
      <c r="Q365" s="387"/>
      <c r="R365" s="388"/>
      <c r="S365" s="388"/>
      <c r="T365" s="388"/>
      <c r="U365" s="388"/>
      <c r="V365" s="386"/>
    </row>
    <row r="366" spans="1:22" ht="12.75">
      <c r="A366" s="355"/>
      <c r="B366" s="43" t="e">
        <f ca="1">IF(Em.tipo="Em del vapor",IF(N365&lt;xD, B365,#N/A), IF(B365&gt;xW,D366,#N/A))</f>
        <v>#N/A</v>
      </c>
      <c r="C366" s="341" t="e">
        <f ca="1">IF(ISBLANK(N365),#N/A,IF(Em.tipo="Em del vapor",m10y*B365^10+m9y*B365^9+m8y*B365^8+m7y*B365^7+m6y*B365^6+m5y*B365^5+m4y*B365^4+m3y*B365^3+m2y*B365^2+m1y*B365^1+mby,V366))</f>
        <v>#N/A</v>
      </c>
      <c r="D366" s="341" t="e">
        <f ca="1">IF(ISBLANK(C366),,IF(Em.tipo="Em del vapor",(C366-N365)*Em+N365,(C366-B365)*Em+B365))</f>
        <v>#N/A</v>
      </c>
      <c r="E366" s="346"/>
      <c r="F366" s="346"/>
      <c r="G366" s="346"/>
      <c r="H366" s="346"/>
      <c r="I366" s="346"/>
      <c r="J366" s="346"/>
      <c r="K366" s="346"/>
      <c r="L366" s="346"/>
      <c r="M366" s="346"/>
      <c r="N366" s="43" t="e">
        <f ca="1">IF(Em.tipo="Em del vapor",IF(N365&lt;xD, D366,#N/A), IF(B365&gt;xW,N365,#N/A))</f>
        <v>#N/A</v>
      </c>
      <c r="O366" s="46"/>
      <c r="P366" s="382" t="e">
        <f ca="1">IF(AND(xW&lt;=B366,B366&lt;xD),IF(Em.tipo="Em del vapor",IF(D366&lt;Ago.yq,0,1),IF(B365&gt;Ago.xq,1,0)),)</f>
        <v>#N/A</v>
      </c>
      <c r="Q366" s="387" t="e">
        <f t="shared" ref="Q366" ca="1" si="235">N365</f>
        <v>#N/A</v>
      </c>
      <c r="R366" s="388" t="e">
        <f ca="1">INDEX(x.ascendente,MATCH(Q366,y.ascendente,1))</f>
        <v>#N/A</v>
      </c>
      <c r="S366" s="388" t="e">
        <f ca="1">INDEX(x.descendente,MATCH(Q366,y.descendente,-1))</f>
        <v>#N/A</v>
      </c>
      <c r="T366" s="388" t="e">
        <f ca="1">INDEX(y.ascendente,MATCH(Q366,y.ascendente,1))</f>
        <v>#N/A</v>
      </c>
      <c r="U366" s="388" t="e">
        <f ca="1">INDEX(y.descendente,MATCH(Q366,y.descendente,-1))</f>
        <v>#N/A</v>
      </c>
      <c r="V366" s="386" t="e">
        <f t="shared" ref="V366" ca="1" si="236">FORECAST(Q366,R366:S366,T366:U366)</f>
        <v>#N/A</v>
      </c>
    </row>
    <row r="367" spans="1:22" ht="12.75">
      <c r="A367" s="355"/>
      <c r="B367" s="43" t="e">
        <f ca="1">IF(IFERROR(N366,#N/A),IF(Em.tipo="Em del vapor",IF(D366&lt;Ago.yq,(D366-Ago.b)/Ago.m,(D366-En.b)/En.m),D366))</f>
        <v>#N/A</v>
      </c>
      <c r="C367" s="341"/>
      <c r="D367" s="341"/>
      <c r="E367" s="346"/>
      <c r="F367" s="346"/>
      <c r="G367" s="346"/>
      <c r="H367" s="346"/>
      <c r="I367" s="346"/>
      <c r="J367" s="346"/>
      <c r="K367" s="346"/>
      <c r="L367" s="346"/>
      <c r="M367" s="346"/>
      <c r="N367" s="44" t="e">
        <f ca="1">IF(Em.tipo="Em del vapor",IF(N365&lt;xD, D366,#N/A),IF(B365&gt;xW,IF(D366&gt;Ago.xq,En.m*D366+En.b,Ago.m*D366+Ago.b),#N/A))</f>
        <v>#N/A</v>
      </c>
      <c r="O367" s="46"/>
      <c r="P367" s="382"/>
      <c r="Q367" s="387"/>
      <c r="R367" s="388"/>
      <c r="S367" s="388"/>
      <c r="T367" s="388"/>
      <c r="U367" s="388"/>
      <c r="V367" s="386"/>
    </row>
    <row r="368" spans="1:22" ht="12.75">
      <c r="A368" s="355"/>
      <c r="B368" s="43" t="e">
        <f ca="1">IF(Em.tipo="Em del vapor",IF(N367&lt;xD, B367,#N/A), IF(B367&gt;xW,D368,#N/A))</f>
        <v>#N/A</v>
      </c>
      <c r="C368" s="341" t="e">
        <f ca="1">IF(ISBLANK(N367),#N/A,IF(Em.tipo="Em del vapor",m10y*B367^10+m9y*B367^9+m8y*B367^8+m7y*B367^7+m6y*B367^6+m5y*B367^5+m4y*B367^4+m3y*B367^3+m2y*B367^2+m1y*B367^1+mby,V368))</f>
        <v>#N/A</v>
      </c>
      <c r="D368" s="341" t="e">
        <f ca="1">IF(ISBLANK(C368),,IF(Em.tipo="Em del vapor",(C368-N367)*Em+N367,(C368-B367)*Em+B367))</f>
        <v>#N/A</v>
      </c>
      <c r="E368" s="346"/>
      <c r="F368" s="346"/>
      <c r="G368" s="346"/>
      <c r="H368" s="346"/>
      <c r="I368" s="346"/>
      <c r="J368" s="346"/>
      <c r="K368" s="346"/>
      <c r="L368" s="346"/>
      <c r="M368" s="346"/>
      <c r="N368" s="43" t="e">
        <f ca="1">IF(Em.tipo="Em del vapor",IF(N367&lt;xD, D368,#N/A), IF(B367&gt;xW,N367,#N/A))</f>
        <v>#N/A</v>
      </c>
      <c r="O368" s="46"/>
      <c r="P368" s="382" t="e">
        <f ca="1">IF(AND(xW&lt;=B368,B368&lt;xD),IF(Em.tipo="Em del vapor",IF(D368&lt;Ago.yq,0,1),IF(B367&gt;Ago.xq,1,0)),)</f>
        <v>#N/A</v>
      </c>
      <c r="Q368" s="387" t="e">
        <f t="shared" ref="Q368" ca="1" si="237">N367</f>
        <v>#N/A</v>
      </c>
      <c r="R368" s="388" t="e">
        <f ca="1">INDEX(x.ascendente,MATCH(Q368,y.ascendente,1))</f>
        <v>#N/A</v>
      </c>
      <c r="S368" s="388" t="e">
        <f ca="1">INDEX(x.descendente,MATCH(Q368,y.descendente,-1))</f>
        <v>#N/A</v>
      </c>
      <c r="T368" s="388" t="e">
        <f ca="1">INDEX(y.ascendente,MATCH(Q368,y.ascendente,1))</f>
        <v>#N/A</v>
      </c>
      <c r="U368" s="388" t="e">
        <f ca="1">INDEX(y.descendente,MATCH(Q368,y.descendente,-1))</f>
        <v>#N/A</v>
      </c>
      <c r="V368" s="386" t="e">
        <f t="shared" ref="V368" ca="1" si="238">FORECAST(Q368,R368:S368,T368:U368)</f>
        <v>#N/A</v>
      </c>
    </row>
    <row r="369" spans="1:22" ht="12.75">
      <c r="A369" s="355"/>
      <c r="B369" s="43" t="e">
        <f ca="1">IF(IFERROR(N368,#N/A),IF(Em.tipo="Em del vapor",IF(D368&lt;Ago.yq,(D368-Ago.b)/Ago.m,(D368-En.b)/En.m),D368))</f>
        <v>#N/A</v>
      </c>
      <c r="C369" s="341"/>
      <c r="D369" s="341"/>
      <c r="E369" s="346"/>
      <c r="F369" s="346"/>
      <c r="G369" s="346"/>
      <c r="H369" s="346"/>
      <c r="I369" s="346"/>
      <c r="J369" s="346"/>
      <c r="K369" s="346"/>
      <c r="L369" s="346"/>
      <c r="M369" s="346"/>
      <c r="N369" s="44" t="e">
        <f ca="1">IF(Em.tipo="Em del vapor",IF(N367&lt;xD, D368,#N/A),IF(B367&gt;xW,IF(D368&gt;Ago.xq,En.m*D368+En.b,Ago.m*D368+Ago.b),#N/A))</f>
        <v>#N/A</v>
      </c>
      <c r="O369" s="46"/>
      <c r="P369" s="382"/>
      <c r="Q369" s="387"/>
      <c r="R369" s="388"/>
      <c r="S369" s="388"/>
      <c r="T369" s="388"/>
      <c r="U369" s="388"/>
      <c r="V369" s="386"/>
    </row>
    <row r="370" spans="1:22" ht="12.75">
      <c r="A370" s="355"/>
      <c r="B370" s="43" t="e">
        <f ca="1">IF(Em.tipo="Em del vapor",IF(N369&lt;xD, B369,#N/A), IF(B369&gt;xW,D370,#N/A))</f>
        <v>#N/A</v>
      </c>
      <c r="C370" s="341" t="e">
        <f ca="1">IF(ISBLANK(N369),#N/A,IF(Em.tipo="Em del vapor",m10y*B369^10+m9y*B369^9+m8y*B369^8+m7y*B369^7+m6y*B369^6+m5y*B369^5+m4y*B369^4+m3y*B369^3+m2y*B369^2+m1y*B369^1+mby,V370))</f>
        <v>#N/A</v>
      </c>
      <c r="D370" s="341" t="e">
        <f ca="1">IF(ISBLANK(C370),,IF(Em.tipo="Em del vapor",(C370-N369)*Em+N369,(C370-B369)*Em+B369))</f>
        <v>#N/A</v>
      </c>
      <c r="E370" s="346"/>
      <c r="F370" s="346"/>
      <c r="G370" s="346"/>
      <c r="H370" s="346"/>
      <c r="I370" s="346"/>
      <c r="J370" s="346"/>
      <c r="K370" s="346"/>
      <c r="L370" s="346"/>
      <c r="M370" s="346"/>
      <c r="N370" s="43" t="e">
        <f ca="1">IF(Em.tipo="Em del vapor",IF(N369&lt;xD, D370,#N/A), IF(B369&gt;xW,N369,#N/A))</f>
        <v>#N/A</v>
      </c>
      <c r="O370" s="46"/>
      <c r="P370" s="382" t="e">
        <f ca="1">IF(AND(xW&lt;=B370,B370&lt;xD),IF(Em.tipo="Em del vapor",IF(D370&lt;Ago.yq,0,1),IF(B369&gt;Ago.xq,1,0)),)</f>
        <v>#N/A</v>
      </c>
      <c r="Q370" s="387" t="e">
        <f t="shared" ref="Q370" ca="1" si="239">N369</f>
        <v>#N/A</v>
      </c>
      <c r="R370" s="388" t="e">
        <f ca="1">INDEX(x.ascendente,MATCH(Q370,y.ascendente,1))</f>
        <v>#N/A</v>
      </c>
      <c r="S370" s="388" t="e">
        <f ca="1">INDEX(x.descendente,MATCH(Q370,y.descendente,-1))</f>
        <v>#N/A</v>
      </c>
      <c r="T370" s="388" t="e">
        <f ca="1">INDEX(y.ascendente,MATCH(Q370,y.ascendente,1))</f>
        <v>#N/A</v>
      </c>
      <c r="U370" s="388" t="e">
        <f ca="1">INDEX(y.descendente,MATCH(Q370,y.descendente,-1))</f>
        <v>#N/A</v>
      </c>
      <c r="V370" s="386" t="e">
        <f t="shared" ref="V370" ca="1" si="240">FORECAST(Q370,R370:S370,T370:U370)</f>
        <v>#N/A</v>
      </c>
    </row>
    <row r="371" spans="1:22" ht="12.75">
      <c r="A371" s="355"/>
      <c r="B371" s="43" t="e">
        <f ca="1">IF(IFERROR(N370,#N/A),IF(Em.tipo="Em del vapor",IF(D370&lt;Ago.yq,(D370-Ago.b)/Ago.m,(D370-En.b)/En.m),D370))</f>
        <v>#N/A</v>
      </c>
      <c r="C371" s="341"/>
      <c r="D371" s="341"/>
      <c r="E371" s="346"/>
      <c r="F371" s="346"/>
      <c r="G371" s="346"/>
      <c r="H371" s="346"/>
      <c r="I371" s="346"/>
      <c r="J371" s="346"/>
      <c r="K371" s="346"/>
      <c r="L371" s="346"/>
      <c r="M371" s="346"/>
      <c r="N371" s="44" t="e">
        <f ca="1">IF(Em.tipo="Em del vapor",IF(N369&lt;xD, D370,#N/A),IF(B369&gt;xW,IF(D370&gt;Ago.xq,En.m*D370+En.b,Ago.m*D370+Ago.b),#N/A))</f>
        <v>#N/A</v>
      </c>
      <c r="O371" s="46"/>
      <c r="P371" s="382"/>
      <c r="Q371" s="387"/>
      <c r="R371" s="388"/>
      <c r="S371" s="388"/>
      <c r="T371" s="388"/>
      <c r="U371" s="388"/>
      <c r="V371" s="386"/>
    </row>
    <row r="372" spans="1:22" ht="12.75">
      <c r="A372" s="355"/>
      <c r="B372" s="43" t="e">
        <f ca="1">IF(Em.tipo="Em del vapor",IF(N371&lt;xD, B371,#N/A), IF(B371&gt;xW,D372,#N/A))</f>
        <v>#N/A</v>
      </c>
      <c r="C372" s="341" t="e">
        <f ca="1">IF(ISBLANK(N371),#N/A,IF(Em.tipo="Em del vapor",m10y*B371^10+m9y*B371^9+m8y*B371^8+m7y*B371^7+m6y*B371^6+m5y*B371^5+m4y*B371^4+m3y*B371^3+m2y*B371^2+m1y*B371^1+mby,V372))</f>
        <v>#N/A</v>
      </c>
      <c r="D372" s="341" t="e">
        <f ca="1">IF(ISBLANK(C372),,IF(Em.tipo="Em del vapor",(C372-N371)*Em+N371,(C372-B371)*Em+B371))</f>
        <v>#N/A</v>
      </c>
      <c r="E372" s="346"/>
      <c r="F372" s="346"/>
      <c r="G372" s="346"/>
      <c r="H372" s="346"/>
      <c r="I372" s="346"/>
      <c r="J372" s="346"/>
      <c r="K372" s="346"/>
      <c r="L372" s="346"/>
      <c r="M372" s="346"/>
      <c r="N372" s="43" t="e">
        <f ca="1">IF(Em.tipo="Em del vapor",IF(N371&lt;xD, D372,#N/A), IF(B371&gt;xW,N371,#N/A))</f>
        <v>#N/A</v>
      </c>
      <c r="O372" s="46"/>
      <c r="P372" s="382" t="e">
        <f ca="1">IF(AND(xW&lt;=B372,B372&lt;xD),IF(Em.tipo="Em del vapor",IF(D372&lt;Ago.yq,0,1),IF(B371&gt;Ago.xq,1,0)),)</f>
        <v>#N/A</v>
      </c>
      <c r="Q372" s="387" t="e">
        <f t="shared" ref="Q372" ca="1" si="241">N371</f>
        <v>#N/A</v>
      </c>
      <c r="R372" s="388" t="e">
        <f ca="1">INDEX(x.ascendente,MATCH(Q372,y.ascendente,1))</f>
        <v>#N/A</v>
      </c>
      <c r="S372" s="388" t="e">
        <f ca="1">INDEX(x.descendente,MATCH(Q372,y.descendente,-1))</f>
        <v>#N/A</v>
      </c>
      <c r="T372" s="388" t="e">
        <f ca="1">INDEX(y.ascendente,MATCH(Q372,y.ascendente,1))</f>
        <v>#N/A</v>
      </c>
      <c r="U372" s="388" t="e">
        <f ca="1">INDEX(y.descendente,MATCH(Q372,y.descendente,-1))</f>
        <v>#N/A</v>
      </c>
      <c r="V372" s="386" t="e">
        <f t="shared" ref="V372" ca="1" si="242">FORECAST(Q372,R372:S372,T372:U372)</f>
        <v>#N/A</v>
      </c>
    </row>
    <row r="373" spans="1:22" ht="12.75">
      <c r="A373" s="355"/>
      <c r="B373" s="43" t="e">
        <f ca="1">IF(IFERROR(N372,#N/A),IF(Em.tipo="Em del vapor",IF(D372&lt;Ago.yq,(D372-Ago.b)/Ago.m,(D372-En.b)/En.m),D372))</f>
        <v>#N/A</v>
      </c>
      <c r="C373" s="341"/>
      <c r="D373" s="341"/>
      <c r="E373" s="346"/>
      <c r="F373" s="346"/>
      <c r="G373" s="346"/>
      <c r="H373" s="346"/>
      <c r="I373" s="346"/>
      <c r="J373" s="346"/>
      <c r="K373" s="346"/>
      <c r="L373" s="346"/>
      <c r="M373" s="346"/>
      <c r="N373" s="44" t="e">
        <f ca="1">IF(Em.tipo="Em del vapor",IF(N371&lt;xD, D372,#N/A),IF(B371&gt;xW,IF(D372&gt;Ago.xq,En.m*D372+En.b,Ago.m*D372+Ago.b),#N/A))</f>
        <v>#N/A</v>
      </c>
      <c r="O373" s="46"/>
      <c r="P373" s="382"/>
      <c r="Q373" s="387"/>
      <c r="R373" s="388"/>
      <c r="S373" s="388"/>
      <c r="T373" s="388"/>
      <c r="U373" s="388"/>
      <c r="V373" s="386"/>
    </row>
    <row r="374" spans="1:22" ht="12.75">
      <c r="A374" s="355"/>
      <c r="B374" s="43" t="e">
        <f ca="1">IF(Em.tipo="Em del vapor",IF(N373&lt;xD, B373,#N/A), IF(B373&gt;xW,D374,#N/A))</f>
        <v>#N/A</v>
      </c>
      <c r="C374" s="341" t="e">
        <f ca="1">IF(ISBLANK(N373),#N/A,IF(Em.tipo="Em del vapor",m10y*B373^10+m9y*B373^9+m8y*B373^8+m7y*B373^7+m6y*B373^6+m5y*B373^5+m4y*B373^4+m3y*B373^3+m2y*B373^2+m1y*B373^1+mby,V374))</f>
        <v>#N/A</v>
      </c>
      <c r="D374" s="341" t="e">
        <f ca="1">IF(ISBLANK(C374),,IF(Em.tipo="Em del vapor",(C374-N373)*Em+N373,(C374-B373)*Em+B373))</f>
        <v>#N/A</v>
      </c>
      <c r="E374" s="346"/>
      <c r="F374" s="346"/>
      <c r="G374" s="346"/>
      <c r="H374" s="346"/>
      <c r="I374" s="346"/>
      <c r="J374" s="346"/>
      <c r="K374" s="346"/>
      <c r="L374" s="346"/>
      <c r="M374" s="346"/>
      <c r="N374" s="43" t="e">
        <f ca="1">IF(Em.tipo="Em del vapor",IF(N373&lt;xD, D374,#N/A), IF(B373&gt;xW,N373,#N/A))</f>
        <v>#N/A</v>
      </c>
      <c r="O374" s="46"/>
      <c r="P374" s="382" t="e">
        <f ca="1">IF(AND(xW&lt;=B374,B374&lt;xD),IF(Em.tipo="Em del vapor",IF(D374&lt;Ago.yq,0,1),IF(B373&gt;Ago.xq,1,0)),)</f>
        <v>#N/A</v>
      </c>
      <c r="Q374" s="387" t="e">
        <f t="shared" ref="Q374" ca="1" si="243">N373</f>
        <v>#N/A</v>
      </c>
      <c r="R374" s="388" t="e">
        <f ca="1">INDEX(x.ascendente,MATCH(Q374,y.ascendente,1))</f>
        <v>#N/A</v>
      </c>
      <c r="S374" s="388" t="e">
        <f ca="1">INDEX(x.descendente,MATCH(Q374,y.descendente,-1))</f>
        <v>#N/A</v>
      </c>
      <c r="T374" s="388" t="e">
        <f ca="1">INDEX(y.ascendente,MATCH(Q374,y.ascendente,1))</f>
        <v>#N/A</v>
      </c>
      <c r="U374" s="388" t="e">
        <f ca="1">INDEX(y.descendente,MATCH(Q374,y.descendente,-1))</f>
        <v>#N/A</v>
      </c>
      <c r="V374" s="386" t="e">
        <f t="shared" ref="V374" ca="1" si="244">FORECAST(Q374,R374:S374,T374:U374)</f>
        <v>#N/A</v>
      </c>
    </row>
    <row r="375" spans="1:22" ht="12.75">
      <c r="A375" s="355"/>
      <c r="B375" s="43" t="e">
        <f ca="1">IF(IFERROR(N374,#N/A),IF(Em.tipo="Em del vapor",IF(D374&lt;Ago.yq,(D374-Ago.b)/Ago.m,(D374-En.b)/En.m),D374))</f>
        <v>#N/A</v>
      </c>
      <c r="C375" s="341"/>
      <c r="D375" s="341"/>
      <c r="E375" s="346"/>
      <c r="F375" s="346"/>
      <c r="G375" s="346"/>
      <c r="H375" s="346"/>
      <c r="I375" s="346"/>
      <c r="J375" s="346"/>
      <c r="K375" s="346"/>
      <c r="L375" s="346"/>
      <c r="M375" s="346"/>
      <c r="N375" s="44" t="e">
        <f ca="1">IF(Em.tipo="Em del vapor",IF(N373&lt;xD, D374,#N/A),IF(B373&gt;xW,IF(D374&gt;Ago.xq,En.m*D374+En.b,Ago.m*D374+Ago.b),#N/A))</f>
        <v>#N/A</v>
      </c>
      <c r="O375" s="46"/>
      <c r="P375" s="382"/>
      <c r="Q375" s="387"/>
      <c r="R375" s="388"/>
      <c r="S375" s="388"/>
      <c r="T375" s="388"/>
      <c r="U375" s="388"/>
      <c r="V375" s="386"/>
    </row>
    <row r="376" spans="1:22" ht="12.75">
      <c r="A376" s="355"/>
      <c r="B376" s="43" t="e">
        <f ca="1">IF(Em.tipo="Em del vapor",IF(N375&lt;xD, B375,#N/A), IF(B375&gt;xW,D376,#N/A))</f>
        <v>#N/A</v>
      </c>
      <c r="C376" s="341" t="e">
        <f ca="1">IF(ISBLANK(N375),#N/A,IF(Em.tipo="Em del vapor",m10y*B375^10+m9y*B375^9+m8y*B375^8+m7y*B375^7+m6y*B375^6+m5y*B375^5+m4y*B375^4+m3y*B375^3+m2y*B375^2+m1y*B375^1+mby,V376))</f>
        <v>#N/A</v>
      </c>
      <c r="D376" s="341" t="e">
        <f ca="1">IF(ISBLANK(C376),,IF(Em.tipo="Em del vapor",(C376-N375)*Em+N375,(C376-B375)*Em+B375))</f>
        <v>#N/A</v>
      </c>
      <c r="E376" s="346"/>
      <c r="F376" s="346"/>
      <c r="G376" s="346"/>
      <c r="H376" s="346"/>
      <c r="I376" s="346"/>
      <c r="J376" s="346"/>
      <c r="K376" s="346"/>
      <c r="L376" s="346"/>
      <c r="M376" s="346"/>
      <c r="N376" s="43" t="e">
        <f ca="1">IF(Em.tipo="Em del vapor",IF(N375&lt;xD, D376,#N/A), IF(B375&gt;xW,N375,#N/A))</f>
        <v>#N/A</v>
      </c>
      <c r="O376" s="46"/>
      <c r="P376" s="382" t="e">
        <f ca="1">IF(AND(xW&lt;=B376,B376&lt;xD),IF(Em.tipo="Em del vapor",IF(D376&lt;Ago.yq,0,1),IF(B375&gt;Ago.xq,1,0)),)</f>
        <v>#N/A</v>
      </c>
      <c r="Q376" s="387" t="e">
        <f t="shared" ref="Q376" ca="1" si="245">N375</f>
        <v>#N/A</v>
      </c>
      <c r="R376" s="388" t="e">
        <f ca="1">INDEX(x.ascendente,MATCH(Q376,y.ascendente,1))</f>
        <v>#N/A</v>
      </c>
      <c r="S376" s="388" t="e">
        <f ca="1">INDEX(x.descendente,MATCH(Q376,y.descendente,-1))</f>
        <v>#N/A</v>
      </c>
      <c r="T376" s="388" t="e">
        <f ca="1">INDEX(y.ascendente,MATCH(Q376,y.ascendente,1))</f>
        <v>#N/A</v>
      </c>
      <c r="U376" s="388" t="e">
        <f ca="1">INDEX(y.descendente,MATCH(Q376,y.descendente,-1))</f>
        <v>#N/A</v>
      </c>
      <c r="V376" s="386" t="e">
        <f t="shared" ref="V376" ca="1" si="246">FORECAST(Q376,R376:S376,T376:U376)</f>
        <v>#N/A</v>
      </c>
    </row>
    <row r="377" spans="1:22" ht="12.75">
      <c r="A377" s="355"/>
      <c r="B377" s="43" t="e">
        <f ca="1">IF(IFERROR(N376,#N/A),IF(Em.tipo="Em del vapor",IF(D376&lt;Ago.yq,(D376-Ago.b)/Ago.m,(D376-En.b)/En.m),D376))</f>
        <v>#N/A</v>
      </c>
      <c r="C377" s="341"/>
      <c r="D377" s="341"/>
      <c r="E377" s="346"/>
      <c r="F377" s="346"/>
      <c r="G377" s="346"/>
      <c r="H377" s="346"/>
      <c r="I377" s="346"/>
      <c r="J377" s="346"/>
      <c r="K377" s="346"/>
      <c r="L377" s="346"/>
      <c r="M377" s="346"/>
      <c r="N377" s="44" t="e">
        <f ca="1">IF(Em.tipo="Em del vapor",IF(N375&lt;xD, D376,#N/A),IF(B375&gt;xW,IF(D376&gt;Ago.xq,En.m*D376+En.b,Ago.m*D376+Ago.b),#N/A))</f>
        <v>#N/A</v>
      </c>
      <c r="O377" s="46"/>
      <c r="P377" s="382"/>
      <c r="Q377" s="387"/>
      <c r="R377" s="388"/>
      <c r="S377" s="388"/>
      <c r="T377" s="388"/>
      <c r="U377" s="388"/>
      <c r="V377" s="386"/>
    </row>
    <row r="378" spans="1:22" ht="12.75">
      <c r="A378" s="355"/>
      <c r="B378" s="43" t="e">
        <f ca="1">IF(Em.tipo="Em del vapor",IF(N377&lt;xD, B377,#N/A), IF(B377&gt;xW,D378,#N/A))</f>
        <v>#N/A</v>
      </c>
      <c r="C378" s="341" t="e">
        <f ca="1">IF(ISBLANK(N377),#N/A,IF(Em.tipo="Em del vapor",m10y*B377^10+m9y*B377^9+m8y*B377^8+m7y*B377^7+m6y*B377^6+m5y*B377^5+m4y*B377^4+m3y*B377^3+m2y*B377^2+m1y*B377^1+mby,V378))</f>
        <v>#N/A</v>
      </c>
      <c r="D378" s="341" t="e">
        <f ca="1">IF(ISBLANK(C378),,IF(Em.tipo="Em del vapor",(C378-N377)*Em+N377,(C378-B377)*Em+B377))</f>
        <v>#N/A</v>
      </c>
      <c r="E378" s="346"/>
      <c r="F378" s="346"/>
      <c r="G378" s="346"/>
      <c r="H378" s="346"/>
      <c r="I378" s="346"/>
      <c r="J378" s="346"/>
      <c r="K378" s="346"/>
      <c r="L378" s="346"/>
      <c r="M378" s="346"/>
      <c r="N378" s="43" t="e">
        <f ca="1">IF(Em.tipo="Em del vapor",IF(N377&lt;xD, D378,#N/A), IF(B377&gt;xW,N377,#N/A))</f>
        <v>#N/A</v>
      </c>
      <c r="O378" s="46"/>
      <c r="P378" s="382" t="e">
        <f ca="1">IF(AND(xW&lt;=B378,B378&lt;xD),IF(Em.tipo="Em del vapor",IF(D378&lt;Ago.yq,0,1),IF(B377&gt;Ago.xq,1,0)),)</f>
        <v>#N/A</v>
      </c>
      <c r="Q378" s="387" t="e">
        <f t="shared" ref="Q378" ca="1" si="247">N377</f>
        <v>#N/A</v>
      </c>
      <c r="R378" s="388" t="e">
        <f ca="1">INDEX(x.ascendente,MATCH(Q378,y.ascendente,1))</f>
        <v>#N/A</v>
      </c>
      <c r="S378" s="388" t="e">
        <f ca="1">INDEX(x.descendente,MATCH(Q378,y.descendente,-1))</f>
        <v>#N/A</v>
      </c>
      <c r="T378" s="388" t="e">
        <f ca="1">INDEX(y.ascendente,MATCH(Q378,y.ascendente,1))</f>
        <v>#N/A</v>
      </c>
      <c r="U378" s="388" t="e">
        <f ca="1">INDEX(y.descendente,MATCH(Q378,y.descendente,-1))</f>
        <v>#N/A</v>
      </c>
      <c r="V378" s="386" t="e">
        <f t="shared" ref="V378" ca="1" si="248">FORECAST(Q378,R378:S378,T378:U378)</f>
        <v>#N/A</v>
      </c>
    </row>
    <row r="379" spans="1:22" ht="12.75">
      <c r="A379" s="355"/>
      <c r="B379" s="43" t="e">
        <f ca="1">IF(IFERROR(N378,#N/A),IF(Em.tipo="Em del vapor",IF(D378&lt;Ago.yq,(D378-Ago.b)/Ago.m,(D378-En.b)/En.m),D378))</f>
        <v>#N/A</v>
      </c>
      <c r="C379" s="341"/>
      <c r="D379" s="341"/>
      <c r="E379" s="346"/>
      <c r="F379" s="346"/>
      <c r="G379" s="346"/>
      <c r="H379" s="346"/>
      <c r="I379" s="346"/>
      <c r="J379" s="346"/>
      <c r="K379" s="346"/>
      <c r="L379" s="346"/>
      <c r="M379" s="346"/>
      <c r="N379" s="44" t="e">
        <f ca="1">IF(Em.tipo="Em del vapor",IF(N377&lt;xD, D378,#N/A),IF(B377&gt;xW,IF(D378&gt;Ago.xq,En.m*D378+En.b,Ago.m*D378+Ago.b),#N/A))</f>
        <v>#N/A</v>
      </c>
      <c r="O379" s="46"/>
      <c r="P379" s="382"/>
      <c r="Q379" s="387"/>
      <c r="R379" s="388"/>
      <c r="S379" s="388"/>
      <c r="T379" s="388"/>
      <c r="U379" s="388"/>
      <c r="V379" s="386"/>
    </row>
    <row r="380" spans="1:22" ht="12.75">
      <c r="A380" s="355"/>
      <c r="B380" s="43" t="e">
        <f ca="1">IF(Em.tipo="Em del vapor",IF(N379&lt;xD, B379,#N/A), IF(B379&gt;xW,D380,#N/A))</f>
        <v>#N/A</v>
      </c>
      <c r="C380" s="341" t="e">
        <f ca="1">IF(ISBLANK(N379),#N/A,IF(Em.tipo="Em del vapor",m10y*B379^10+m9y*B379^9+m8y*B379^8+m7y*B379^7+m6y*B379^6+m5y*B379^5+m4y*B379^4+m3y*B379^3+m2y*B379^2+m1y*B379^1+mby,V380))</f>
        <v>#N/A</v>
      </c>
      <c r="D380" s="341" t="e">
        <f ca="1">IF(ISBLANK(C380),,IF(Em.tipo="Em del vapor",(C380-N379)*Em+N379,(C380-B379)*Em+B379))</f>
        <v>#N/A</v>
      </c>
      <c r="E380" s="346"/>
      <c r="F380" s="346"/>
      <c r="G380" s="346"/>
      <c r="H380" s="346"/>
      <c r="I380" s="346"/>
      <c r="J380" s="346"/>
      <c r="K380" s="346"/>
      <c r="L380" s="346"/>
      <c r="M380" s="346"/>
      <c r="N380" s="43" t="e">
        <f ca="1">IF(Em.tipo="Em del vapor",IF(N379&lt;xD, D380,#N/A), IF(B379&gt;xW,N379,#N/A))</f>
        <v>#N/A</v>
      </c>
      <c r="O380" s="46"/>
      <c r="P380" s="382" t="e">
        <f ca="1">IF(AND(xW&lt;=B380,B380&lt;xD),IF(Em.tipo="Em del vapor",IF(D380&lt;Ago.yq,0,1),IF(B379&gt;Ago.xq,1,0)),)</f>
        <v>#N/A</v>
      </c>
      <c r="Q380" s="387" t="e">
        <f t="shared" ref="Q380" ca="1" si="249">N379</f>
        <v>#N/A</v>
      </c>
      <c r="R380" s="388" t="e">
        <f ca="1">INDEX(x.ascendente,MATCH(Q380,y.ascendente,1))</f>
        <v>#N/A</v>
      </c>
      <c r="S380" s="388" t="e">
        <f ca="1">INDEX(x.descendente,MATCH(Q380,y.descendente,-1))</f>
        <v>#N/A</v>
      </c>
      <c r="T380" s="388" t="e">
        <f ca="1">INDEX(y.ascendente,MATCH(Q380,y.ascendente,1))</f>
        <v>#N/A</v>
      </c>
      <c r="U380" s="388" t="e">
        <f ca="1">INDEX(y.descendente,MATCH(Q380,y.descendente,-1))</f>
        <v>#N/A</v>
      </c>
      <c r="V380" s="386" t="e">
        <f t="shared" ref="V380" ca="1" si="250">FORECAST(Q380,R380:S380,T380:U380)</f>
        <v>#N/A</v>
      </c>
    </row>
    <row r="381" spans="1:22" ht="12.75">
      <c r="A381" s="355"/>
      <c r="B381" s="43" t="e">
        <f ca="1">IF(IFERROR(N380,#N/A),IF(Em.tipo="Em del vapor",IF(D380&lt;Ago.yq,(D380-Ago.b)/Ago.m,(D380-En.b)/En.m),D380))</f>
        <v>#N/A</v>
      </c>
      <c r="C381" s="341"/>
      <c r="D381" s="341"/>
      <c r="E381" s="346"/>
      <c r="F381" s="346"/>
      <c r="G381" s="346"/>
      <c r="H381" s="346"/>
      <c r="I381" s="346"/>
      <c r="J381" s="346"/>
      <c r="K381" s="346"/>
      <c r="L381" s="346"/>
      <c r="M381" s="346"/>
      <c r="N381" s="44" t="e">
        <f ca="1">IF(Em.tipo="Em del vapor",IF(N379&lt;xD, D380,#N/A),IF(B379&gt;xW,IF(D380&gt;Ago.xq,En.m*D380+En.b,Ago.m*D380+Ago.b),#N/A))</f>
        <v>#N/A</v>
      </c>
      <c r="O381" s="46"/>
      <c r="P381" s="382"/>
      <c r="Q381" s="387"/>
      <c r="R381" s="388"/>
      <c r="S381" s="388"/>
      <c r="T381" s="388"/>
      <c r="U381" s="388"/>
      <c r="V381" s="386"/>
    </row>
    <row r="382" spans="1:22" ht="12.75">
      <c r="A382" s="355"/>
      <c r="B382" s="43" t="e">
        <f ca="1">IF(Em.tipo="Em del vapor",IF(N381&lt;xD, B381,#N/A), IF(B381&gt;xW,D382,#N/A))</f>
        <v>#N/A</v>
      </c>
      <c r="C382" s="341" t="e">
        <f ca="1">IF(ISBLANK(N381),#N/A,IF(Em.tipo="Em del vapor",m10y*B381^10+m9y*B381^9+m8y*B381^8+m7y*B381^7+m6y*B381^6+m5y*B381^5+m4y*B381^4+m3y*B381^3+m2y*B381^2+m1y*B381^1+mby,V382))</f>
        <v>#N/A</v>
      </c>
      <c r="D382" s="341" t="e">
        <f ca="1">IF(ISBLANK(C382),,IF(Em.tipo="Em del vapor",(C382-N381)*Em+N381,(C382-B381)*Em+B381))</f>
        <v>#N/A</v>
      </c>
      <c r="E382" s="346"/>
      <c r="F382" s="346"/>
      <c r="G382" s="346"/>
      <c r="H382" s="346"/>
      <c r="I382" s="346"/>
      <c r="J382" s="346"/>
      <c r="K382" s="346"/>
      <c r="L382" s="346"/>
      <c r="M382" s="346"/>
      <c r="N382" s="43" t="e">
        <f ca="1">IF(Em.tipo="Em del vapor",IF(N381&lt;xD, D382,#N/A), IF(B381&gt;xW,N381,#N/A))</f>
        <v>#N/A</v>
      </c>
      <c r="O382" s="46"/>
      <c r="P382" s="382" t="e">
        <f ca="1">IF(AND(xW&lt;=B382,B382&lt;xD),IF(Em.tipo="Em del vapor",IF(D382&lt;Ago.yq,0,1),IF(B381&gt;Ago.xq,1,0)),)</f>
        <v>#N/A</v>
      </c>
      <c r="Q382" s="387" t="e">
        <f t="shared" ref="Q382" ca="1" si="251">N381</f>
        <v>#N/A</v>
      </c>
      <c r="R382" s="388" t="e">
        <f ca="1">INDEX(x.ascendente,MATCH(Q382,y.ascendente,1))</f>
        <v>#N/A</v>
      </c>
      <c r="S382" s="388" t="e">
        <f ca="1">INDEX(x.descendente,MATCH(Q382,y.descendente,-1))</f>
        <v>#N/A</v>
      </c>
      <c r="T382" s="388" t="e">
        <f ca="1">INDEX(y.ascendente,MATCH(Q382,y.ascendente,1))</f>
        <v>#N/A</v>
      </c>
      <c r="U382" s="388" t="e">
        <f ca="1">INDEX(y.descendente,MATCH(Q382,y.descendente,-1))</f>
        <v>#N/A</v>
      </c>
      <c r="V382" s="386" t="e">
        <f t="shared" ref="V382" ca="1" si="252">FORECAST(Q382,R382:S382,T382:U382)</f>
        <v>#N/A</v>
      </c>
    </row>
    <row r="383" spans="1:22" ht="12.75">
      <c r="A383" s="355"/>
      <c r="B383" s="43" t="e">
        <f ca="1">IF(IFERROR(N382,#N/A),IF(Em.tipo="Em del vapor",IF(D382&lt;Ago.yq,(D382-Ago.b)/Ago.m,(D382-En.b)/En.m),D382))</f>
        <v>#N/A</v>
      </c>
      <c r="C383" s="341"/>
      <c r="D383" s="341"/>
      <c r="E383" s="346"/>
      <c r="F383" s="346"/>
      <c r="G383" s="346"/>
      <c r="H383" s="346"/>
      <c r="I383" s="346"/>
      <c r="J383" s="346"/>
      <c r="K383" s="346"/>
      <c r="L383" s="346"/>
      <c r="M383" s="346"/>
      <c r="N383" s="44" t="e">
        <f ca="1">IF(Em.tipo="Em del vapor",IF(N381&lt;xD, D382,#N/A),IF(B381&gt;xW,IF(D382&gt;Ago.xq,En.m*D382+En.b,Ago.m*D382+Ago.b),#N/A))</f>
        <v>#N/A</v>
      </c>
      <c r="O383" s="46"/>
      <c r="P383" s="382"/>
      <c r="Q383" s="387"/>
      <c r="R383" s="388"/>
      <c r="S383" s="388"/>
      <c r="T383" s="388"/>
      <c r="U383" s="388"/>
      <c r="V383" s="386"/>
    </row>
    <row r="384" spans="1:22" ht="12.75">
      <c r="A384" s="355"/>
      <c r="B384" s="43" t="e">
        <f ca="1">IF(Em.tipo="Em del vapor",IF(N383&lt;xD, B383,#N/A), IF(B383&gt;xW,D384,#N/A))</f>
        <v>#N/A</v>
      </c>
      <c r="C384" s="341" t="e">
        <f ca="1">IF(ISBLANK(N383),#N/A,IF(Em.tipo="Em del vapor",m10y*B383^10+m9y*B383^9+m8y*B383^8+m7y*B383^7+m6y*B383^6+m5y*B383^5+m4y*B383^4+m3y*B383^3+m2y*B383^2+m1y*B383^1+mby,V384))</f>
        <v>#N/A</v>
      </c>
      <c r="D384" s="341" t="e">
        <f ca="1">IF(ISBLANK(C384),,IF(Em.tipo="Em del vapor",(C384-N383)*Em+N383,(C384-B383)*Em+B383))</f>
        <v>#N/A</v>
      </c>
      <c r="E384" s="346"/>
      <c r="F384" s="346"/>
      <c r="G384" s="346"/>
      <c r="H384" s="346"/>
      <c r="I384" s="346"/>
      <c r="J384" s="346"/>
      <c r="K384" s="346"/>
      <c r="L384" s="346"/>
      <c r="M384" s="346"/>
      <c r="N384" s="43" t="e">
        <f ca="1">IF(Em.tipo="Em del vapor",IF(N383&lt;xD, D384,#N/A), IF(B383&gt;xW,N383,#N/A))</f>
        <v>#N/A</v>
      </c>
      <c r="O384" s="46"/>
      <c r="P384" s="382" t="e">
        <f ca="1">IF(AND(xW&lt;=B384,B384&lt;xD),IF(Em.tipo="Em del vapor",IF(D384&lt;Ago.yq,0,1),IF(B383&gt;Ago.xq,1,0)),)</f>
        <v>#N/A</v>
      </c>
      <c r="Q384" s="387" t="e">
        <f t="shared" ref="Q384" ca="1" si="253">N383</f>
        <v>#N/A</v>
      </c>
      <c r="R384" s="388" t="e">
        <f ca="1">INDEX(x.ascendente,MATCH(Q384,y.ascendente,1))</f>
        <v>#N/A</v>
      </c>
      <c r="S384" s="388" t="e">
        <f ca="1">INDEX(x.descendente,MATCH(Q384,y.descendente,-1))</f>
        <v>#N/A</v>
      </c>
      <c r="T384" s="388" t="e">
        <f ca="1">INDEX(y.ascendente,MATCH(Q384,y.ascendente,1))</f>
        <v>#N/A</v>
      </c>
      <c r="U384" s="388" t="e">
        <f ca="1">INDEX(y.descendente,MATCH(Q384,y.descendente,-1))</f>
        <v>#N/A</v>
      </c>
      <c r="V384" s="386" t="e">
        <f t="shared" ref="V384" ca="1" si="254">FORECAST(Q384,R384:S384,T384:U384)</f>
        <v>#N/A</v>
      </c>
    </row>
    <row r="385" spans="1:25" ht="12.75">
      <c r="A385" s="355"/>
      <c r="B385" s="43" t="e">
        <f ca="1">IF(IFERROR(N384,#N/A),IF(Em.tipo="Em del vapor",IF(D384&lt;Ago.yq,(D384-Ago.b)/Ago.m,(D384-En.b)/En.m),D384))</f>
        <v>#N/A</v>
      </c>
      <c r="C385" s="341"/>
      <c r="D385" s="341"/>
      <c r="E385" s="346"/>
      <c r="F385" s="346"/>
      <c r="G385" s="346"/>
      <c r="H385" s="346"/>
      <c r="I385" s="346"/>
      <c r="J385" s="346"/>
      <c r="K385" s="346"/>
      <c r="L385" s="346"/>
      <c r="M385" s="346"/>
      <c r="N385" s="44" t="e">
        <f ca="1">IF(Em.tipo="Em del vapor",IF(N383&lt;xD, D384,#N/A),IF(B383&gt;xW,IF(D384&gt;Ago.xq,En.m*D384+En.b,Ago.m*D384+Ago.b),#N/A))</f>
        <v>#N/A</v>
      </c>
      <c r="O385" s="46"/>
      <c r="P385" s="382"/>
      <c r="Q385" s="387"/>
      <c r="R385" s="388"/>
      <c r="S385" s="388"/>
      <c r="T385" s="388"/>
      <c r="U385" s="388"/>
      <c r="V385" s="386"/>
    </row>
    <row r="386" spans="1:25" ht="12.75">
      <c r="A386" s="355"/>
      <c r="B386" s="43" t="e">
        <f ca="1">IF(Em.tipo="Em del vapor",IF(N385&lt;xD, B385,#N/A), IF(B385&gt;xW,D386,#N/A))</f>
        <v>#N/A</v>
      </c>
      <c r="C386" s="341" t="e">
        <f ca="1">IF(ISBLANK(N385),#N/A,IF(Em.tipo="Em del vapor",m10y*B385^10+m9y*B385^9+m8y*B385^8+m7y*B385^7+m6y*B385^6+m5y*B385^5+m4y*B385^4+m3y*B385^3+m2y*B385^2+m1y*B385^1+mby,V386))</f>
        <v>#N/A</v>
      </c>
      <c r="D386" s="341" t="e">
        <f ca="1">IF(ISBLANK(C386),,IF(Em.tipo="Em del vapor",(C386-N385)*Em+N385,(C386-B385)*Em+B385))</f>
        <v>#N/A</v>
      </c>
      <c r="E386" s="346"/>
      <c r="F386" s="346"/>
      <c r="G386" s="346"/>
      <c r="H386" s="346"/>
      <c r="I386" s="346"/>
      <c r="J386" s="346"/>
      <c r="K386" s="346"/>
      <c r="L386" s="346"/>
      <c r="M386" s="346"/>
      <c r="N386" s="43" t="e">
        <f ca="1">IF(Em.tipo="Em del vapor",IF(N385&lt;xD, D386,#N/A), IF(B385&gt;xW,N385,#N/A))</f>
        <v>#N/A</v>
      </c>
      <c r="O386" s="46"/>
      <c r="P386" s="382" t="e">
        <f ca="1">IF(AND(xW&lt;=B386,B386&lt;xD),IF(Em.tipo="Em del vapor",IF(D386&lt;Ago.yq,0,1),IF(B385&gt;Ago.xq,1,0)),)</f>
        <v>#N/A</v>
      </c>
      <c r="Q386" s="387" t="e">
        <f t="shared" ref="Q386" ca="1" si="255">N385</f>
        <v>#N/A</v>
      </c>
      <c r="R386" s="388" t="e">
        <f ca="1">INDEX(x.ascendente,MATCH(Q386,y.ascendente,1))</f>
        <v>#N/A</v>
      </c>
      <c r="S386" s="388" t="e">
        <f ca="1">INDEX(x.descendente,MATCH(Q386,y.descendente,-1))</f>
        <v>#N/A</v>
      </c>
      <c r="T386" s="388" t="e">
        <f ca="1">INDEX(y.ascendente,MATCH(Q386,y.ascendente,1))</f>
        <v>#N/A</v>
      </c>
      <c r="U386" s="388" t="e">
        <f ca="1">INDEX(y.descendente,MATCH(Q386,y.descendente,-1))</f>
        <v>#N/A</v>
      </c>
      <c r="V386" s="386" t="e">
        <f t="shared" ref="V386" ca="1" si="256">FORECAST(Q386,R386:S386,T386:U386)</f>
        <v>#N/A</v>
      </c>
    </row>
    <row r="387" spans="1:25" ht="12.75">
      <c r="A387" s="355"/>
      <c r="B387" s="43" t="e">
        <f ca="1">IF(IFERROR(N386,#N/A),IF(Em.tipo="Em del vapor",IF(D386&lt;Ago.yq,(D386-Ago.b)/Ago.m,(D386-En.b)/En.m),D386))</f>
        <v>#N/A</v>
      </c>
      <c r="C387" s="341"/>
      <c r="D387" s="341"/>
      <c r="E387" s="346"/>
      <c r="F387" s="346"/>
      <c r="G387" s="346"/>
      <c r="H387" s="346"/>
      <c r="I387" s="346"/>
      <c r="J387" s="346"/>
      <c r="K387" s="346"/>
      <c r="L387" s="346"/>
      <c r="M387" s="346"/>
      <c r="N387" s="44" t="e">
        <f ca="1">IF(Em.tipo="Em del vapor",IF(N385&lt;xD, D386,#N/A),IF(B385&gt;xW,IF(D386&gt;Ago.xq,En.m*D386+En.b,Ago.m*D386+Ago.b),#N/A))</f>
        <v>#N/A</v>
      </c>
      <c r="O387" s="46"/>
      <c r="P387" s="382"/>
      <c r="Q387" s="387"/>
      <c r="R387" s="388"/>
      <c r="S387" s="388"/>
      <c r="T387" s="388"/>
      <c r="U387" s="388"/>
      <c r="V387" s="386"/>
    </row>
    <row r="388" spans="1:25" ht="12.75">
      <c r="A388" s="355"/>
      <c r="B388" s="43" t="e">
        <f ca="1">IF(Em.tipo="Em del vapor",IF(N387&lt;xD, B387,#N/A), IF(B387&gt;xW,D388,#N/A))</f>
        <v>#N/A</v>
      </c>
      <c r="C388" s="341" t="e">
        <f ca="1">IF(ISBLANK(N387),#N/A,IF(Em.tipo="Em del vapor",m10y*B387^10+m9y*B387^9+m8y*B387^8+m7y*B387^7+m6y*B387^6+m5y*B387^5+m4y*B387^4+m3y*B387^3+m2y*B387^2+m1y*B387^1+mby,V388))</f>
        <v>#N/A</v>
      </c>
      <c r="D388" s="341" t="e">
        <f ca="1">IF(ISBLANK(C388),,IF(Em.tipo="Em del vapor",(C388-N387)*Em+N387,(C388-B387)*Em+B387))</f>
        <v>#N/A</v>
      </c>
      <c r="E388" s="346"/>
      <c r="F388" s="346"/>
      <c r="G388" s="346"/>
      <c r="H388" s="346"/>
      <c r="I388" s="346"/>
      <c r="J388" s="346"/>
      <c r="K388" s="346"/>
      <c r="L388" s="346"/>
      <c r="M388" s="346"/>
      <c r="N388" s="43" t="e">
        <f ca="1">IF(Em.tipo="Em del vapor",IF(N387&lt;xD, D388,#N/A), IF(B387&gt;xW,N387,#N/A))</f>
        <v>#N/A</v>
      </c>
      <c r="O388" s="46"/>
      <c r="P388" s="382" t="e">
        <f ca="1">IF(AND(xW&lt;=B388,B388&lt;xD),IF(Em.tipo="Em del vapor",IF(D388&lt;Ago.yq,0,1),IF(B387&gt;Ago.xq,1,0)),)</f>
        <v>#N/A</v>
      </c>
      <c r="Q388" s="387" t="e">
        <f t="shared" ref="Q388" ca="1" si="257">N387</f>
        <v>#N/A</v>
      </c>
      <c r="R388" s="388" t="e">
        <f ca="1">INDEX(x.ascendente,MATCH(Q388,y.ascendente,1))</f>
        <v>#N/A</v>
      </c>
      <c r="S388" s="388" t="e">
        <f ca="1">INDEX(x.descendente,MATCH(Q388,y.descendente,-1))</f>
        <v>#N/A</v>
      </c>
      <c r="T388" s="388" t="e">
        <f ca="1">INDEX(y.ascendente,MATCH(Q388,y.ascendente,1))</f>
        <v>#N/A</v>
      </c>
      <c r="U388" s="388" t="e">
        <f ca="1">INDEX(y.descendente,MATCH(Q388,y.descendente,-1))</f>
        <v>#N/A</v>
      </c>
      <c r="V388" s="386" t="e">
        <f t="shared" ref="V388" ca="1" si="258">FORECAST(Q388,R388:S388,T388:U388)</f>
        <v>#N/A</v>
      </c>
    </row>
    <row r="389" spans="1:25" ht="12.75">
      <c r="A389" s="355"/>
      <c r="B389" s="43" t="e">
        <f ca="1">IF(IFERROR(N388,#N/A),IF(Em.tipo="Em del vapor",IF(D388&lt;Ago.yq,(D388-Ago.b)/Ago.m,(D388-En.b)/En.m),D388))</f>
        <v>#N/A</v>
      </c>
      <c r="C389" s="341"/>
      <c r="D389" s="341"/>
      <c r="E389" s="346"/>
      <c r="F389" s="346"/>
      <c r="G389" s="346"/>
      <c r="H389" s="346"/>
      <c r="I389" s="346"/>
      <c r="J389" s="346"/>
      <c r="K389" s="346"/>
      <c r="L389" s="346"/>
      <c r="M389" s="346"/>
      <c r="N389" s="44" t="e">
        <f ca="1">IF(Em.tipo="Em del vapor",IF(N387&lt;xD, D388,#N/A),IF(B387&gt;xW,IF(D388&gt;Ago.xq,En.m*D388+En.b,Ago.m*D388+Ago.b),#N/A))</f>
        <v>#N/A</v>
      </c>
      <c r="O389" s="46"/>
      <c r="P389" s="382"/>
      <c r="Q389" s="387"/>
      <c r="R389" s="388"/>
      <c r="S389" s="388"/>
      <c r="T389" s="388"/>
      <c r="U389" s="388"/>
      <c r="V389" s="386"/>
    </row>
    <row r="390" spans="1:25" ht="12.75">
      <c r="A390" s="355"/>
      <c r="B390" s="43" t="e">
        <f ca="1">IF(Em.tipo="Em del vapor",IF(N389&lt;xD, B389,#N/A), IF(B389&gt;xW,D390,#N/A))</f>
        <v>#N/A</v>
      </c>
      <c r="C390" s="341" t="e">
        <f ca="1">IF(ISBLANK(N389),#N/A,IF(Em.tipo="Em del vapor",m10y*B389^10+m9y*B389^9+m8y*B389^8+m7y*B389^7+m6y*B389^6+m5y*B389^5+m4y*B389^4+m3y*B389^3+m2y*B389^2+m1y*B389^1+mby,V390))</f>
        <v>#N/A</v>
      </c>
      <c r="D390" s="341" t="e">
        <f ca="1">IF(ISBLANK(C390),,IF(Em.tipo="Em del vapor",(C390-N389)*Em+N389,(C390-B389)*Em+B389))</f>
        <v>#N/A</v>
      </c>
      <c r="E390" s="346"/>
      <c r="F390" s="346"/>
      <c r="G390" s="346"/>
      <c r="H390" s="346"/>
      <c r="I390" s="346"/>
      <c r="J390" s="346"/>
      <c r="K390" s="346"/>
      <c r="L390" s="346"/>
      <c r="M390" s="346"/>
      <c r="N390" s="43" t="e">
        <f ca="1">IF(Em.tipo="Em del vapor",IF(N389&lt;xD, D390,#N/A), IF(B389&gt;xW,N389,#N/A))</f>
        <v>#N/A</v>
      </c>
      <c r="O390" s="46"/>
      <c r="P390" s="382" t="e">
        <f ca="1">IF(AND(xW&lt;=B390,B390&lt;xD),IF(Em.tipo="Em del vapor",IF(D390&lt;Ago.yq,0,1),IF(B389&gt;Ago.xq,1,0)),)</f>
        <v>#N/A</v>
      </c>
      <c r="Q390" s="387" t="e">
        <f t="shared" ref="Q390" ca="1" si="259">N389</f>
        <v>#N/A</v>
      </c>
      <c r="R390" s="388" t="e">
        <f ca="1">INDEX(x.ascendente,MATCH(Q390,y.ascendente,1))</f>
        <v>#N/A</v>
      </c>
      <c r="S390" s="388" t="e">
        <f ca="1">INDEX(x.descendente,MATCH(Q390,y.descendente,-1))</f>
        <v>#N/A</v>
      </c>
      <c r="T390" s="388" t="e">
        <f ca="1">INDEX(y.ascendente,MATCH(Q390,y.ascendente,1))</f>
        <v>#N/A</v>
      </c>
      <c r="U390" s="388" t="e">
        <f ca="1">INDEX(y.descendente,MATCH(Q390,y.descendente,-1))</f>
        <v>#N/A</v>
      </c>
      <c r="V390" s="386" t="e">
        <f t="shared" ref="V390" ca="1" si="260">FORECAST(Q390,R390:S390,T390:U390)</f>
        <v>#N/A</v>
      </c>
    </row>
    <row r="391" spans="1:25" ht="12.75">
      <c r="A391" s="355"/>
      <c r="B391" s="43" t="e">
        <f ca="1">IF(IFERROR(N390,#N/A),IF(Em.tipo="Em del vapor",IF(D390&lt;Ago.yq,(D390-Ago.b)/Ago.m,(D390-En.b)/En.m),D390))</f>
        <v>#N/A</v>
      </c>
      <c r="C391" s="341"/>
      <c r="D391" s="341"/>
      <c r="E391" s="346"/>
      <c r="F391" s="346"/>
      <c r="G391" s="346"/>
      <c r="H391" s="346"/>
      <c r="I391" s="346"/>
      <c r="J391" s="346"/>
      <c r="K391" s="346"/>
      <c r="L391" s="346"/>
      <c r="M391" s="346"/>
      <c r="N391" s="44" t="e">
        <f ca="1">IF(Em.tipo="Em del vapor",IF(N389&lt;xD, D390,#N/A),IF(B389&gt;xW,IF(D390&gt;Ago.xq,En.m*D390+En.b,Ago.m*D390+Ago.b),#N/A))</f>
        <v>#N/A</v>
      </c>
      <c r="O391" s="46"/>
      <c r="P391" s="382"/>
      <c r="Q391" s="387"/>
      <c r="R391" s="388"/>
      <c r="S391" s="388"/>
      <c r="T391" s="388"/>
      <c r="U391" s="388"/>
      <c r="V391" s="386"/>
    </row>
    <row r="392" spans="1:25" ht="12.75">
      <c r="A392" s="355"/>
      <c r="B392" s="43" t="e">
        <f ca="1">IF(Em.tipo="Em del vapor",IF(N391&lt;xD, B391,#N/A), IF(B391&gt;xW,D392,#N/A))</f>
        <v>#N/A</v>
      </c>
      <c r="C392" s="341" t="e">
        <f ca="1">IF(ISBLANK(N391),#N/A,IF(Em.tipo="Em del vapor",m10y*B391^10+m9y*B391^9+m8y*B391^8+m7y*B391^7+m6y*B391^6+m5y*B391^5+m4y*B391^4+m3y*B391^3+m2y*B391^2+m1y*B391^1+mby,V392))</f>
        <v>#N/A</v>
      </c>
      <c r="D392" s="341" t="e">
        <f ca="1">IF(ISBLANK(C392),,IF(Em.tipo="Em del vapor",(C392-N391)*Em+N391,(C392-B391)*Em+B391))</f>
        <v>#N/A</v>
      </c>
      <c r="E392" s="346"/>
      <c r="F392" s="346"/>
      <c r="G392" s="346"/>
      <c r="H392" s="346"/>
      <c r="I392" s="346"/>
      <c r="J392" s="346"/>
      <c r="K392" s="346"/>
      <c r="L392" s="346"/>
      <c r="M392" s="346"/>
      <c r="N392" s="43" t="e">
        <f ca="1">IF(Em.tipo="Em del vapor",IF(N391&lt;xD, D392,#N/A), IF(B391&gt;xW,N391,#N/A))</f>
        <v>#N/A</v>
      </c>
      <c r="O392" s="46"/>
      <c r="P392" s="382" t="e">
        <f ca="1">IF(AND(xW&lt;=B392,B392&lt;xD),IF(Em.tipo="Em del vapor",IF(D392&lt;Ago.yq,0,1),IF(B391&gt;Ago.xq,1,0)),)</f>
        <v>#N/A</v>
      </c>
      <c r="Q392" s="387" t="e">
        <f t="shared" ref="Q392" ca="1" si="261">N391</f>
        <v>#N/A</v>
      </c>
      <c r="R392" s="388" t="e">
        <f ca="1">INDEX(x.ascendente,MATCH(Q392,y.ascendente,1))</f>
        <v>#N/A</v>
      </c>
      <c r="S392" s="388" t="e">
        <f ca="1">INDEX(x.descendente,MATCH(Q392,y.descendente,-1))</f>
        <v>#N/A</v>
      </c>
      <c r="T392" s="388" t="e">
        <f ca="1">INDEX(y.ascendente,MATCH(Q392,y.ascendente,1))</f>
        <v>#N/A</v>
      </c>
      <c r="U392" s="388" t="e">
        <f ca="1">INDEX(y.descendente,MATCH(Q392,y.descendente,-1))</f>
        <v>#N/A</v>
      </c>
      <c r="V392" s="386" t="e">
        <f t="shared" ref="V392" ca="1" si="262">FORECAST(Q392,R392:S392,T392:U392)</f>
        <v>#N/A</v>
      </c>
    </row>
    <row r="393" spans="1:25" ht="12.75">
      <c r="A393" s="355"/>
      <c r="B393" s="43" t="e">
        <f ca="1">IF(IFERROR(N392,#N/A),IF(Em.tipo="Em del vapor",IF(D392&lt;Ago.yq,(D392-Ago.b)/Ago.m,(D392-En.b)/En.m),D392))</f>
        <v>#N/A</v>
      </c>
      <c r="C393" s="341"/>
      <c r="D393" s="341"/>
      <c r="E393" s="346"/>
      <c r="F393" s="346"/>
      <c r="G393" s="346"/>
      <c r="H393" s="346"/>
      <c r="I393" s="346"/>
      <c r="J393" s="346"/>
      <c r="K393" s="346"/>
      <c r="L393" s="346"/>
      <c r="M393" s="346"/>
      <c r="N393" s="44" t="e">
        <f ca="1">IF(Em.tipo="Em del vapor",IF(N391&lt;xD, D392,#N/A),IF(B391&gt;xW,IF(D392&gt;Ago.xq,En.m*D392+En.b,Ago.m*D392+Ago.b),#N/A))</f>
        <v>#N/A</v>
      </c>
      <c r="O393" s="46"/>
      <c r="P393" s="382"/>
      <c r="Q393" s="387"/>
      <c r="R393" s="388"/>
      <c r="S393" s="388"/>
      <c r="T393" s="388"/>
      <c r="U393" s="388"/>
      <c r="V393" s="386"/>
    </row>
    <row r="394" spans="1:25" ht="12.75">
      <c r="A394" s="355"/>
      <c r="B394" s="43" t="e">
        <f ca="1">IF(Em.tipo="Em del vapor",IF(N393&lt;xD, B393,#N/A), IF(B393&gt;xW,D394,#N/A))</f>
        <v>#N/A</v>
      </c>
      <c r="C394" s="341" t="e">
        <f ca="1">IF(ISBLANK(N393),#N/A,IF(Em.tipo="Em del vapor",m10y*B393^10+m9y*B393^9+m8y*B393^8+m7y*B393^7+m6y*B393^6+m5y*B393^5+m4y*B393^4+m3y*B393^3+m2y*B393^2+m1y*B393^1+mby,V394))</f>
        <v>#N/A</v>
      </c>
      <c r="D394" s="341" t="e">
        <f ca="1">IF(ISBLANK(C394),,IF(Em.tipo="Em del vapor",(C394-N393)*Em+N393,(C394-B393)*Em+B393))</f>
        <v>#N/A</v>
      </c>
      <c r="E394" s="346"/>
      <c r="F394" s="346"/>
      <c r="G394" s="346"/>
      <c r="H394" s="346"/>
      <c r="I394" s="346"/>
      <c r="J394" s="346"/>
      <c r="K394" s="346"/>
      <c r="L394" s="346"/>
      <c r="M394" s="346"/>
      <c r="N394" s="43" t="e">
        <f ca="1">IF(Em.tipo="Em del vapor",IF(N393&lt;xD, D394,#N/A), IF(B393&gt;xW,N393,#N/A))</f>
        <v>#N/A</v>
      </c>
      <c r="O394" s="46"/>
      <c r="P394" s="382" t="e">
        <f ca="1">IF(AND(xW&lt;=B394,B394&lt;xD),IF(Em.tipo="Em del vapor",IF(D394&lt;Ago.yq,0,1),IF(B393&gt;Ago.xq,1,0)),)</f>
        <v>#N/A</v>
      </c>
      <c r="Q394" s="387" t="e">
        <f t="shared" ref="Q394" ca="1" si="263">N393</f>
        <v>#N/A</v>
      </c>
      <c r="R394" s="388" t="e">
        <f ca="1">INDEX(x.ascendente,MATCH(Q394,y.ascendente,1))</f>
        <v>#N/A</v>
      </c>
      <c r="S394" s="388" t="e">
        <f ca="1">INDEX(x.descendente,MATCH(Q394,y.descendente,-1))</f>
        <v>#N/A</v>
      </c>
      <c r="T394" s="388" t="e">
        <f ca="1">INDEX(y.ascendente,MATCH(Q394,y.ascendente,1))</f>
        <v>#N/A</v>
      </c>
      <c r="U394" s="388" t="e">
        <f ca="1">INDEX(y.descendente,MATCH(Q394,y.descendente,-1))</f>
        <v>#N/A</v>
      </c>
      <c r="V394" s="386" t="e">
        <f t="shared" ref="V394" ca="1" si="264">FORECAST(Q394,R394:S394,T394:U394)</f>
        <v>#N/A</v>
      </c>
    </row>
    <row r="395" spans="1:25" ht="12.75">
      <c r="A395" s="355"/>
      <c r="B395" s="43" t="e">
        <f ca="1">IF(IFERROR(N394,#N/A),IF(Em.tipo="Em del vapor",IF(D394&lt;Ago.yq,(D394-Ago.b)/Ago.m,(D394-En.b)/En.m),D394))</f>
        <v>#N/A</v>
      </c>
      <c r="C395" s="341"/>
      <c r="D395" s="341"/>
      <c r="E395" s="346"/>
      <c r="F395" s="346"/>
      <c r="G395" s="346"/>
      <c r="H395" s="346"/>
      <c r="I395" s="346"/>
      <c r="J395" s="346"/>
      <c r="K395" s="346"/>
      <c r="L395" s="346"/>
      <c r="M395" s="346"/>
      <c r="N395" s="44" t="e">
        <f ca="1">IF(Em.tipo="Em del vapor",IF(N393&lt;xD, D394,#N/A),IF(B393&gt;xW,IF(D394&gt;Ago.xq,En.m*D394+En.b,Ago.m*D394+Ago.b),#N/A))</f>
        <v>#N/A</v>
      </c>
      <c r="O395" s="46"/>
      <c r="P395" s="382"/>
      <c r="Q395" s="387"/>
      <c r="R395" s="388"/>
      <c r="S395" s="388"/>
      <c r="T395" s="388"/>
      <c r="U395" s="388"/>
      <c r="V395" s="386"/>
    </row>
    <row r="396" spans="1:25" ht="12.75">
      <c r="A396" s="355"/>
      <c r="B396" s="43" t="e">
        <f ca="1">IF(Em.tipo="Em del vapor",IF(N395&lt;xD, B395,#N/A), IF(B395&gt;xW,D396,#N/A))</f>
        <v>#N/A</v>
      </c>
      <c r="C396" s="341" t="e">
        <f ca="1">IF(ISBLANK(N395),#N/A,IF(Em.tipo="Em del vapor",m10y*B395^10+m9y*B395^9+m8y*B395^8+m7y*B395^7+m6y*B395^6+m5y*B395^5+m4y*B395^4+m3y*B395^3+m2y*B395^2+m1y*B395^1+mby,V396))</f>
        <v>#N/A</v>
      </c>
      <c r="D396" s="341" t="e">
        <f ca="1">IF(ISBLANK(C396),,IF(Em.tipo="Em del vapor",(C396-N395)*Em+N395,(C396-B395)*Em+B395))</f>
        <v>#N/A</v>
      </c>
      <c r="E396" s="346"/>
      <c r="F396" s="346"/>
      <c r="G396" s="346"/>
      <c r="H396" s="346"/>
      <c r="I396" s="346"/>
      <c r="J396" s="346"/>
      <c r="K396" s="346"/>
      <c r="L396" s="346"/>
      <c r="M396" s="346"/>
      <c r="N396" s="43" t="e">
        <f ca="1">IF(Em.tipo="Em del vapor",IF(N395&lt;xD, D396,#N/A), IF(B395&gt;xW,N395,#N/A))</f>
        <v>#N/A</v>
      </c>
      <c r="O396" s="46"/>
      <c r="P396" s="382" t="e">
        <f ca="1">IF(AND(xW&lt;=B396,B396&lt;xD),IF(Em.tipo="Em del vapor",IF(D396&lt;Ago.yq,0,1),IF(B395&gt;Ago.xq,1,0)),)</f>
        <v>#N/A</v>
      </c>
      <c r="Q396" s="387" t="e">
        <f t="shared" ref="Q396" ca="1" si="265">N395</f>
        <v>#N/A</v>
      </c>
      <c r="R396" s="388" t="e">
        <f ca="1">INDEX(x.ascendente,MATCH(Q396,y.ascendente,1))</f>
        <v>#N/A</v>
      </c>
      <c r="S396" s="388" t="e">
        <f ca="1">INDEX(x.descendente,MATCH(Q396,y.descendente,-1))</f>
        <v>#N/A</v>
      </c>
      <c r="T396" s="388" t="e">
        <f ca="1">INDEX(y.ascendente,MATCH(Q396,y.ascendente,1))</f>
        <v>#N/A</v>
      </c>
      <c r="U396" s="388" t="e">
        <f ca="1">INDEX(y.descendente,MATCH(Q396,y.descendente,-1))</f>
        <v>#N/A</v>
      </c>
      <c r="V396" s="386" t="e">
        <f t="shared" ref="V396" ca="1" si="266">FORECAST(Q396,R396:S396,T396:U396)</f>
        <v>#N/A</v>
      </c>
    </row>
    <row r="397" spans="1:25" ht="12.75">
      <c r="A397" s="355"/>
      <c r="B397" s="43" t="e">
        <f ca="1">IF(IFERROR(N396,#N/A),IF(Em.tipo="Em del vapor",IF(D396&lt;Ago.yq,(D396-Ago.b)/Ago.m,(D396-En.b)/En.m),D396))</f>
        <v>#N/A</v>
      </c>
      <c r="C397" s="341"/>
      <c r="D397" s="341"/>
      <c r="E397" s="346"/>
      <c r="F397" s="346"/>
      <c r="G397" s="346"/>
      <c r="H397" s="346"/>
      <c r="I397" s="346"/>
      <c r="J397" s="346"/>
      <c r="K397" s="346"/>
      <c r="L397" s="346"/>
      <c r="M397" s="346"/>
      <c r="N397" s="44" t="e">
        <f ca="1">IF(Em.tipo="Em del vapor",IF(N395&lt;xD, D396,#N/A),IF(B395&gt;xW,IF(D396&gt;Ago.xq,En.m*D396+En.b,Ago.m*D396+Ago.b),#N/A))</f>
        <v>#N/A</v>
      </c>
      <c r="O397" s="46"/>
      <c r="P397" s="382"/>
      <c r="Q397" s="387"/>
      <c r="R397" s="388"/>
      <c r="S397" s="388"/>
      <c r="T397" s="388"/>
      <c r="U397" s="388"/>
      <c r="V397" s="386"/>
    </row>
    <row r="398" spans="1:25" ht="12.75">
      <c r="A398" s="360"/>
      <c r="B398" s="43" t="e">
        <f ca="1">IF(Em.tipo="Em del vapor",IF(N397&lt;xD, B397,#N/A), IF(B397&gt;xW,D398,#N/A))</f>
        <v>#N/A</v>
      </c>
      <c r="C398" s="341" t="e">
        <f ca="1">IF(ISBLANK(N397),#N/A,IF(Em.tipo="Em del vapor",m10y*B397^10+m9y*B397^9+m8y*B397^8+m7y*B397^7+m6y*B397^6+m5y*B397^5+m4y*B397^4+m3y*B397^3+m2y*B397^2+m1y*B397^1+mby,V398))</f>
        <v>#N/A</v>
      </c>
      <c r="D398" s="361" t="e">
        <f ca="1">IF(ISBLANK(C398),,IF(Em.tipo="Em del vapor",(C398-N397)*Em+N397,(C398-B397)*Em+B397))</f>
        <v>#N/A</v>
      </c>
      <c r="E398" s="349"/>
      <c r="F398" s="349"/>
      <c r="G398" s="349"/>
      <c r="H398" s="349"/>
      <c r="I398" s="349"/>
      <c r="J398" s="349"/>
      <c r="K398" s="349"/>
      <c r="L398" s="349"/>
      <c r="M398" s="349"/>
      <c r="N398" s="43" t="e">
        <f ca="1">IF(Em.tipo="Em del vapor",IF(N397&lt;xD, D398,#N/A), IF(B397&gt;xW,N397,#N/A))</f>
        <v>#N/A</v>
      </c>
      <c r="O398" s="46"/>
      <c r="P398" s="383" t="e">
        <f ca="1">IF(AND(xW&lt;=B398,B398&lt;xD),IF(Em.tipo="Em del vapor",IF(D398&lt;Ago.yq,0,1),IF(B397&gt;Ago.xq,1,0)),)</f>
        <v>#N/A</v>
      </c>
      <c r="Q398" s="387" t="e">
        <f t="shared" ref="Q398" ca="1" si="267">N397</f>
        <v>#N/A</v>
      </c>
      <c r="R398" s="388" t="e">
        <f ca="1">INDEX(x.ascendente,MATCH(Q398,y.ascendente,1))</f>
        <v>#N/A</v>
      </c>
      <c r="S398" s="388" t="e">
        <f ca="1">INDEX(x.descendente,MATCH(Q398,y.descendente,-1))</f>
        <v>#N/A</v>
      </c>
      <c r="T398" s="388" t="e">
        <f ca="1">INDEX(y.ascendente,MATCH(Q398,y.ascendente,1))</f>
        <v>#N/A</v>
      </c>
      <c r="U398" s="388" t="e">
        <f ca="1">INDEX(y.descendente,MATCH(Q398,y.descendente,-1))</f>
        <v>#N/A</v>
      </c>
      <c r="V398" s="386" t="e">
        <f t="shared" ref="V398" ca="1" si="268">FORECAST(Q398,R398:S398,T398:U398)</f>
        <v>#N/A</v>
      </c>
    </row>
    <row r="399" spans="1:25" ht="13.5" thickBot="1">
      <c r="B399" s="322" t="s">
        <v>315</v>
      </c>
      <c r="C399" s="362" t="s">
        <v>325</v>
      </c>
      <c r="D399" s="363">
        <f>(xD-xW)/20</f>
        <v>4.8228013720575266E-2</v>
      </c>
      <c r="E399" s="364"/>
      <c r="F399" s="364"/>
      <c r="G399" s="364"/>
      <c r="H399" s="364"/>
      <c r="I399" s="364"/>
      <c r="J399" s="364"/>
      <c r="K399" s="364"/>
      <c r="L399" s="364"/>
      <c r="M399" s="364"/>
      <c r="N399" s="364"/>
      <c r="O399" s="365"/>
      <c r="Q399" s="387"/>
      <c r="R399" s="388"/>
      <c r="S399" s="388"/>
      <c r="T399" s="388"/>
      <c r="U399" s="388"/>
      <c r="V399" s="386"/>
    </row>
    <row r="400" spans="1:25" ht="12.75">
      <c r="B400" s="366"/>
      <c r="C400" s="367" t="s">
        <v>346</v>
      </c>
      <c r="D400" s="368" t="s">
        <v>347</v>
      </c>
      <c r="E400" s="369"/>
      <c r="F400" s="369"/>
      <c r="G400" s="369"/>
      <c r="H400" s="369"/>
      <c r="I400" s="369"/>
      <c r="J400" s="369"/>
      <c r="K400" s="369"/>
      <c r="L400" s="369"/>
      <c r="M400" s="369"/>
      <c r="N400" s="369"/>
      <c r="O400" s="370"/>
      <c r="P400" s="397"/>
      <c r="Q400" s="391" t="s">
        <v>339</v>
      </c>
      <c r="R400" s="392" t="s">
        <v>340</v>
      </c>
      <c r="S400" s="392" t="s">
        <v>341</v>
      </c>
      <c r="T400" s="393" t="s">
        <v>342</v>
      </c>
      <c r="U400" s="393" t="s">
        <v>343</v>
      </c>
      <c r="V400" s="394" t="s">
        <v>351</v>
      </c>
      <c r="W400" s="398" t="s">
        <v>352</v>
      </c>
      <c r="X400" s="398" t="s">
        <v>349</v>
      </c>
      <c r="Y400" s="398" t="s">
        <v>350</v>
      </c>
    </row>
    <row r="401" spans="2:25" ht="12.75">
      <c r="B401" s="356" t="e">
        <f ca="1">_xlfn.IFS(Em.tipo="Em del vapor",P401,Em.tipo="Em del líquido",D401,Em.tipo="Sin valor (usar Em=1)",#N/A)</f>
        <v>#NAME?</v>
      </c>
      <c r="C401" s="371" t="e">
        <f t="shared" ref="C401:C421" ca="1" si="269">(W401-X401)*Em+X401</f>
        <v>#NAME?</v>
      </c>
      <c r="D401" s="371" t="e">
        <f t="shared" ref="D401:D421" ca="1" si="270">Y401-(Y401-V401)*Em</f>
        <v>#NAME?</v>
      </c>
      <c r="E401" s="359"/>
      <c r="F401" s="359"/>
      <c r="G401" s="359"/>
      <c r="H401" s="359"/>
      <c r="I401" s="359"/>
      <c r="J401" s="359"/>
      <c r="K401" s="359"/>
      <c r="L401" s="359"/>
      <c r="M401" s="359"/>
      <c r="N401" s="359"/>
      <c r="O401" s="396" t="e">
        <f t="shared" ref="O401:O421" ca="1" si="271">IF(Mostrar.Pseudoeq="Mostrar",_xlfn.IFS(Em.tipo="Em del vapor",C401,Em.tipo="Em del líquido",P401,Em.tipo="Sin valor (usar Em=1)",#N/A),#N/A)</f>
        <v>#NAME?</v>
      </c>
      <c r="P401" s="399">
        <f>xW</f>
        <v>1.0050517210906332E-2</v>
      </c>
      <c r="Q401" s="400" t="e">
        <f ca="1">O401</f>
        <v>#NAME?</v>
      </c>
      <c r="R401" s="388" t="e">
        <f t="shared" ref="R401:R421" ca="1" si="272">INDEX(x.ascendente,MATCH(Q401,y.ascendente,1))</f>
        <v>#NAME?</v>
      </c>
      <c r="S401" s="388" t="e">
        <f t="shared" ref="S401:S421" ca="1" si="273">INDEX(x.descendente,MATCH(Q401,y.descendente,-1))</f>
        <v>#NAME?</v>
      </c>
      <c r="T401" s="388" t="e">
        <f t="shared" ref="T401:T421" ca="1" si="274">INDEX(y.ascendente,MATCH(Q401,y.ascendente,1))</f>
        <v>#NAME?</v>
      </c>
      <c r="U401" s="388" t="e">
        <f t="shared" ref="U401:U421" ca="1" si="275">INDEX(y.descendente,MATCH(Q401,y.descendente,-1))</f>
        <v>#NAME?</v>
      </c>
      <c r="V401" s="386" t="e">
        <f ca="1">FORECAST(Q401,R401:S401,T401:U401)</f>
        <v>#NAME?</v>
      </c>
      <c r="W401" t="e">
        <f t="shared" ref="W401:W421" ca="1" si="276">m10y*B401^10+m9y*B401^9+m8y*B401^8+m7y*B401^7+m6y*B401^6+m5y*B401^5+m4y*B401^4+m3y*B401^3+m2y*B401^2+m1y*B401^1+mby</f>
        <v>#NAME?</v>
      </c>
      <c r="X401" t="e">
        <f t="shared" ref="X401:X421" ca="1" si="277">IF(B401&lt;Ago.xq,Ago.m*B401+Ago.b,En.m*B401+En.b)</f>
        <v>#NAME?</v>
      </c>
      <c r="Y401" t="e">
        <f t="shared" ref="Y401:Y421" ca="1" si="278">IF(O401&lt;Ago.yq,(O401-Ago.b)/Ago.m,(O401-En.b)/En.m)</f>
        <v>#NAME?</v>
      </c>
    </row>
    <row r="402" spans="2:25" ht="12.75">
      <c r="B402" s="43" t="e">
        <f t="shared" ref="B402:B421" ca="1" si="279">_xlfn.IFS(Em.tipo="Em del vapor",P402,Em.tipo="Em del líquido",D402,Em.tipo="Sin valor (usar Em=1)",)</f>
        <v>#NAME?</v>
      </c>
      <c r="C402" s="371" t="e">
        <f t="shared" ca="1" si="269"/>
        <v>#NAME?</v>
      </c>
      <c r="D402" s="371" t="e">
        <f t="shared" ca="1" si="270"/>
        <v>#NAME?</v>
      </c>
      <c r="E402" s="346"/>
      <c r="F402" s="346"/>
      <c r="G402" s="346"/>
      <c r="H402" s="346"/>
      <c r="I402" s="346"/>
      <c r="J402" s="346"/>
      <c r="K402" s="346"/>
      <c r="L402" s="346"/>
      <c r="M402" s="346"/>
      <c r="N402" s="346"/>
      <c r="O402" s="396" t="e">
        <f t="shared" ca="1" si="271"/>
        <v>#NAME?</v>
      </c>
      <c r="P402" s="399">
        <f>P401+$D$399</f>
        <v>5.8278530931481595E-2</v>
      </c>
      <c r="Q402" s="400" t="e">
        <f t="shared" ref="Q402:Q421" ca="1" si="280">O402</f>
        <v>#NAME?</v>
      </c>
      <c r="R402" s="388" t="e">
        <f t="shared" ca="1" si="272"/>
        <v>#NAME?</v>
      </c>
      <c r="S402" s="388" t="e">
        <f t="shared" ca="1" si="273"/>
        <v>#NAME?</v>
      </c>
      <c r="T402" s="388" t="e">
        <f t="shared" ca="1" si="274"/>
        <v>#NAME?</v>
      </c>
      <c r="U402" s="388" t="e">
        <f t="shared" ca="1" si="275"/>
        <v>#NAME?</v>
      </c>
      <c r="V402" s="386" t="e">
        <f t="shared" ref="V402:V421" ca="1" si="281">FORECAST(Q402,R402:S402,T402:U402)</f>
        <v>#NAME?</v>
      </c>
      <c r="W402" s="395" t="e">
        <f t="shared" ca="1" si="276"/>
        <v>#NAME?</v>
      </c>
      <c r="X402" s="395" t="e">
        <f t="shared" ca="1" si="277"/>
        <v>#NAME?</v>
      </c>
      <c r="Y402" s="395" t="e">
        <f t="shared" ca="1" si="278"/>
        <v>#NAME?</v>
      </c>
    </row>
    <row r="403" spans="2:25" ht="12.75">
      <c r="B403" s="43" t="e">
        <f t="shared" ca="1" si="279"/>
        <v>#NAME?</v>
      </c>
      <c r="C403" s="371" t="e">
        <f t="shared" ca="1" si="269"/>
        <v>#NAME?</v>
      </c>
      <c r="D403" s="371" t="e">
        <f t="shared" ca="1" si="270"/>
        <v>#NAME?</v>
      </c>
      <c r="E403" s="346"/>
      <c r="F403" s="346"/>
      <c r="G403" s="346"/>
      <c r="H403" s="346"/>
      <c r="I403" s="346"/>
      <c r="J403" s="346"/>
      <c r="K403" s="346"/>
      <c r="L403" s="346"/>
      <c r="M403" s="346"/>
      <c r="N403" s="346"/>
      <c r="O403" s="396" t="e">
        <f t="shared" ca="1" si="271"/>
        <v>#NAME?</v>
      </c>
      <c r="P403" s="399">
        <f t="shared" ref="P403:P421" si="282">P402+$D$399</f>
        <v>0.10650654465205686</v>
      </c>
      <c r="Q403" s="400" t="e">
        <f t="shared" ca="1" si="280"/>
        <v>#NAME?</v>
      </c>
      <c r="R403" s="388" t="e">
        <f t="shared" ca="1" si="272"/>
        <v>#NAME?</v>
      </c>
      <c r="S403" s="388" t="e">
        <f t="shared" ca="1" si="273"/>
        <v>#NAME?</v>
      </c>
      <c r="T403" s="388" t="e">
        <f t="shared" ca="1" si="274"/>
        <v>#NAME?</v>
      </c>
      <c r="U403" s="388" t="e">
        <f t="shared" ca="1" si="275"/>
        <v>#NAME?</v>
      </c>
      <c r="V403" s="386" t="e">
        <f t="shared" ca="1" si="281"/>
        <v>#NAME?</v>
      </c>
      <c r="W403" s="395" t="e">
        <f t="shared" ca="1" si="276"/>
        <v>#NAME?</v>
      </c>
      <c r="X403" s="395" t="e">
        <f t="shared" ca="1" si="277"/>
        <v>#NAME?</v>
      </c>
      <c r="Y403" s="395" t="e">
        <f t="shared" ca="1" si="278"/>
        <v>#NAME?</v>
      </c>
    </row>
    <row r="404" spans="2:25" ht="12.75">
      <c r="B404" s="43" t="e">
        <f t="shared" ca="1" si="279"/>
        <v>#NAME?</v>
      </c>
      <c r="C404" s="371" t="e">
        <f t="shared" ca="1" si="269"/>
        <v>#NAME?</v>
      </c>
      <c r="D404" s="371" t="e">
        <f t="shared" ca="1" si="270"/>
        <v>#NAME?</v>
      </c>
      <c r="E404" s="346"/>
      <c r="F404" s="346"/>
      <c r="G404" s="346"/>
      <c r="H404" s="346"/>
      <c r="I404" s="346"/>
      <c r="J404" s="346"/>
      <c r="K404" s="346"/>
      <c r="L404" s="346"/>
      <c r="M404" s="346"/>
      <c r="N404" s="346"/>
      <c r="O404" s="396" t="e">
        <f t="shared" ca="1" si="271"/>
        <v>#NAME?</v>
      </c>
      <c r="P404" s="399">
        <f t="shared" si="282"/>
        <v>0.15473455837263211</v>
      </c>
      <c r="Q404" s="400" t="e">
        <f t="shared" ca="1" si="280"/>
        <v>#NAME?</v>
      </c>
      <c r="R404" s="388" t="e">
        <f t="shared" ca="1" si="272"/>
        <v>#NAME?</v>
      </c>
      <c r="S404" s="388" t="e">
        <f t="shared" ca="1" si="273"/>
        <v>#NAME?</v>
      </c>
      <c r="T404" s="388" t="e">
        <f t="shared" ca="1" si="274"/>
        <v>#NAME?</v>
      </c>
      <c r="U404" s="388" t="e">
        <f t="shared" ca="1" si="275"/>
        <v>#NAME?</v>
      </c>
      <c r="V404" s="386" t="e">
        <f t="shared" ca="1" si="281"/>
        <v>#NAME?</v>
      </c>
      <c r="W404" s="395" t="e">
        <f t="shared" ca="1" si="276"/>
        <v>#NAME?</v>
      </c>
      <c r="X404" s="395" t="e">
        <f t="shared" ca="1" si="277"/>
        <v>#NAME?</v>
      </c>
      <c r="Y404" s="395" t="e">
        <f t="shared" ca="1" si="278"/>
        <v>#NAME?</v>
      </c>
    </row>
    <row r="405" spans="2:25" ht="12.75">
      <c r="B405" s="43" t="e">
        <f t="shared" ca="1" si="279"/>
        <v>#NAME?</v>
      </c>
      <c r="C405" s="371" t="e">
        <f t="shared" ca="1" si="269"/>
        <v>#NAME?</v>
      </c>
      <c r="D405" s="371" t="e">
        <f t="shared" ca="1" si="270"/>
        <v>#NAME?</v>
      </c>
      <c r="E405" s="346"/>
      <c r="F405" s="346"/>
      <c r="G405" s="346"/>
      <c r="H405" s="346"/>
      <c r="I405" s="346"/>
      <c r="J405" s="346"/>
      <c r="K405" s="346"/>
      <c r="L405" s="346"/>
      <c r="M405" s="346"/>
      <c r="N405" s="346"/>
      <c r="O405" s="396" t="e">
        <f t="shared" ca="1" si="271"/>
        <v>#NAME?</v>
      </c>
      <c r="P405" s="399">
        <f t="shared" si="282"/>
        <v>0.20296257209320739</v>
      </c>
      <c r="Q405" s="400" t="e">
        <f t="shared" ca="1" si="280"/>
        <v>#NAME?</v>
      </c>
      <c r="R405" s="388" t="e">
        <f t="shared" ca="1" si="272"/>
        <v>#NAME?</v>
      </c>
      <c r="S405" s="388" t="e">
        <f t="shared" ca="1" si="273"/>
        <v>#NAME?</v>
      </c>
      <c r="T405" s="388" t="e">
        <f t="shared" ca="1" si="274"/>
        <v>#NAME?</v>
      </c>
      <c r="U405" s="388" t="e">
        <f t="shared" ca="1" si="275"/>
        <v>#NAME?</v>
      </c>
      <c r="V405" s="386" t="e">
        <f t="shared" ca="1" si="281"/>
        <v>#NAME?</v>
      </c>
      <c r="W405" s="395" t="e">
        <f t="shared" ca="1" si="276"/>
        <v>#NAME?</v>
      </c>
      <c r="X405" s="395" t="e">
        <f t="shared" ca="1" si="277"/>
        <v>#NAME?</v>
      </c>
      <c r="Y405" s="395" t="e">
        <f t="shared" ca="1" si="278"/>
        <v>#NAME?</v>
      </c>
    </row>
    <row r="406" spans="2:25" ht="12.75">
      <c r="B406" s="43" t="e">
        <f t="shared" ca="1" si="279"/>
        <v>#NAME?</v>
      </c>
      <c r="C406" s="371" t="e">
        <f t="shared" ca="1" si="269"/>
        <v>#NAME?</v>
      </c>
      <c r="D406" s="371" t="e">
        <f t="shared" ca="1" si="270"/>
        <v>#NAME?</v>
      </c>
      <c r="E406" s="346"/>
      <c r="F406" s="346"/>
      <c r="G406" s="346"/>
      <c r="H406" s="346"/>
      <c r="I406" s="346"/>
      <c r="J406" s="346"/>
      <c r="K406" s="346"/>
      <c r="L406" s="346"/>
      <c r="M406" s="346"/>
      <c r="N406" s="346"/>
      <c r="O406" s="396" t="e">
        <f t="shared" ca="1" si="271"/>
        <v>#NAME?</v>
      </c>
      <c r="P406" s="399">
        <f t="shared" si="282"/>
        <v>0.25119058581378267</v>
      </c>
      <c r="Q406" s="400" t="e">
        <f t="shared" ca="1" si="280"/>
        <v>#NAME?</v>
      </c>
      <c r="R406" s="388" t="e">
        <f t="shared" ca="1" si="272"/>
        <v>#NAME?</v>
      </c>
      <c r="S406" s="388" t="e">
        <f t="shared" ca="1" si="273"/>
        <v>#NAME?</v>
      </c>
      <c r="T406" s="388" t="e">
        <f t="shared" ca="1" si="274"/>
        <v>#NAME?</v>
      </c>
      <c r="U406" s="388" t="e">
        <f t="shared" ca="1" si="275"/>
        <v>#NAME?</v>
      </c>
      <c r="V406" s="386" t="e">
        <f t="shared" ca="1" si="281"/>
        <v>#NAME?</v>
      </c>
      <c r="W406" s="395" t="e">
        <f t="shared" ca="1" si="276"/>
        <v>#NAME?</v>
      </c>
      <c r="X406" s="395" t="e">
        <f t="shared" ca="1" si="277"/>
        <v>#NAME?</v>
      </c>
      <c r="Y406" s="395" t="e">
        <f t="shared" ca="1" si="278"/>
        <v>#NAME?</v>
      </c>
    </row>
    <row r="407" spans="2:25" ht="12.75">
      <c r="B407" s="43" t="e">
        <f t="shared" ca="1" si="279"/>
        <v>#NAME?</v>
      </c>
      <c r="C407" s="371" t="e">
        <f t="shared" ca="1" si="269"/>
        <v>#NAME?</v>
      </c>
      <c r="D407" s="371" t="e">
        <f t="shared" ca="1" si="270"/>
        <v>#NAME?</v>
      </c>
      <c r="E407" s="346"/>
      <c r="F407" s="346"/>
      <c r="G407" s="346"/>
      <c r="H407" s="346"/>
      <c r="I407" s="346"/>
      <c r="J407" s="346"/>
      <c r="K407" s="346"/>
      <c r="L407" s="346"/>
      <c r="M407" s="346"/>
      <c r="N407" s="346"/>
      <c r="O407" s="396" t="e">
        <f t="shared" ca="1" si="271"/>
        <v>#NAME?</v>
      </c>
      <c r="P407" s="399">
        <f t="shared" si="282"/>
        <v>0.29941859953435795</v>
      </c>
      <c r="Q407" s="400" t="e">
        <f t="shared" ca="1" si="280"/>
        <v>#NAME?</v>
      </c>
      <c r="R407" s="388" t="e">
        <f t="shared" ca="1" si="272"/>
        <v>#NAME?</v>
      </c>
      <c r="S407" s="388" t="e">
        <f t="shared" ca="1" si="273"/>
        <v>#NAME?</v>
      </c>
      <c r="T407" s="388" t="e">
        <f t="shared" ca="1" si="274"/>
        <v>#NAME?</v>
      </c>
      <c r="U407" s="388" t="e">
        <f t="shared" ca="1" si="275"/>
        <v>#NAME?</v>
      </c>
      <c r="V407" s="386" t="e">
        <f t="shared" ca="1" si="281"/>
        <v>#NAME?</v>
      </c>
      <c r="W407" s="395" t="e">
        <f t="shared" ca="1" si="276"/>
        <v>#NAME?</v>
      </c>
      <c r="X407" s="395" t="e">
        <f t="shared" ca="1" si="277"/>
        <v>#NAME?</v>
      </c>
      <c r="Y407" s="395" t="e">
        <f t="shared" ca="1" si="278"/>
        <v>#NAME?</v>
      </c>
    </row>
    <row r="408" spans="2:25" ht="12.75">
      <c r="B408" s="43" t="e">
        <f t="shared" ca="1" si="279"/>
        <v>#NAME?</v>
      </c>
      <c r="C408" s="371" t="e">
        <f t="shared" ca="1" si="269"/>
        <v>#NAME?</v>
      </c>
      <c r="D408" s="371" t="e">
        <f t="shared" ca="1" si="270"/>
        <v>#NAME?</v>
      </c>
      <c r="E408" s="346"/>
      <c r="F408" s="346"/>
      <c r="G408" s="346"/>
      <c r="H408" s="346"/>
      <c r="I408" s="346"/>
      <c r="J408" s="346"/>
      <c r="K408" s="346"/>
      <c r="L408" s="346"/>
      <c r="M408" s="346"/>
      <c r="N408" s="346"/>
      <c r="O408" s="396" t="e">
        <f t="shared" ca="1" si="271"/>
        <v>#NAME?</v>
      </c>
      <c r="P408" s="399">
        <f t="shared" si="282"/>
        <v>0.34764661325493323</v>
      </c>
      <c r="Q408" s="400" t="e">
        <f t="shared" ca="1" si="280"/>
        <v>#NAME?</v>
      </c>
      <c r="R408" s="388" t="e">
        <f t="shared" ca="1" si="272"/>
        <v>#NAME?</v>
      </c>
      <c r="S408" s="388" t="e">
        <f t="shared" ca="1" si="273"/>
        <v>#NAME?</v>
      </c>
      <c r="T408" s="388" t="e">
        <f t="shared" ca="1" si="274"/>
        <v>#NAME?</v>
      </c>
      <c r="U408" s="388" t="e">
        <f t="shared" ca="1" si="275"/>
        <v>#NAME?</v>
      </c>
      <c r="V408" s="386" t="e">
        <f t="shared" ca="1" si="281"/>
        <v>#NAME?</v>
      </c>
      <c r="W408" s="395" t="e">
        <f t="shared" ca="1" si="276"/>
        <v>#NAME?</v>
      </c>
      <c r="X408" s="395" t="e">
        <f t="shared" ca="1" si="277"/>
        <v>#NAME?</v>
      </c>
      <c r="Y408" s="395" t="e">
        <f t="shared" ca="1" si="278"/>
        <v>#NAME?</v>
      </c>
    </row>
    <row r="409" spans="2:25" ht="12.75">
      <c r="B409" s="43" t="e">
        <f t="shared" ca="1" si="279"/>
        <v>#NAME?</v>
      </c>
      <c r="C409" s="371" t="e">
        <f t="shared" ca="1" si="269"/>
        <v>#NAME?</v>
      </c>
      <c r="D409" s="371" t="e">
        <f t="shared" ca="1" si="270"/>
        <v>#NAME?</v>
      </c>
      <c r="E409" s="346"/>
      <c r="F409" s="346"/>
      <c r="G409" s="346"/>
      <c r="H409" s="346"/>
      <c r="I409" s="346"/>
      <c r="J409" s="346"/>
      <c r="K409" s="346"/>
      <c r="L409" s="346"/>
      <c r="M409" s="346"/>
      <c r="N409" s="346"/>
      <c r="O409" s="396" t="e">
        <f t="shared" ca="1" si="271"/>
        <v>#NAME?</v>
      </c>
      <c r="P409" s="399">
        <f t="shared" si="282"/>
        <v>0.39587462697550851</v>
      </c>
      <c r="Q409" s="400" t="e">
        <f t="shared" ca="1" si="280"/>
        <v>#NAME?</v>
      </c>
      <c r="R409" s="388" t="e">
        <f t="shared" ca="1" si="272"/>
        <v>#NAME?</v>
      </c>
      <c r="S409" s="388" t="e">
        <f t="shared" ca="1" si="273"/>
        <v>#NAME?</v>
      </c>
      <c r="T409" s="388" t="e">
        <f t="shared" ca="1" si="274"/>
        <v>#NAME?</v>
      </c>
      <c r="U409" s="388" t="e">
        <f t="shared" ca="1" si="275"/>
        <v>#NAME?</v>
      </c>
      <c r="V409" s="386" t="e">
        <f t="shared" ca="1" si="281"/>
        <v>#NAME?</v>
      </c>
      <c r="W409" s="395" t="e">
        <f t="shared" ca="1" si="276"/>
        <v>#NAME?</v>
      </c>
      <c r="X409" s="395" t="e">
        <f t="shared" ca="1" si="277"/>
        <v>#NAME?</v>
      </c>
      <c r="Y409" s="395" t="e">
        <f t="shared" ca="1" si="278"/>
        <v>#NAME?</v>
      </c>
    </row>
    <row r="410" spans="2:25" ht="12.75">
      <c r="B410" s="43" t="e">
        <f t="shared" ca="1" si="279"/>
        <v>#NAME?</v>
      </c>
      <c r="C410" s="371" t="e">
        <f t="shared" ca="1" si="269"/>
        <v>#NAME?</v>
      </c>
      <c r="D410" s="371" t="e">
        <f t="shared" ca="1" si="270"/>
        <v>#NAME?</v>
      </c>
      <c r="E410" s="346"/>
      <c r="F410" s="346"/>
      <c r="G410" s="346"/>
      <c r="H410" s="346"/>
      <c r="I410" s="346"/>
      <c r="J410" s="346"/>
      <c r="K410" s="346"/>
      <c r="L410" s="346"/>
      <c r="M410" s="346"/>
      <c r="N410" s="346"/>
      <c r="O410" s="396" t="e">
        <f t="shared" ca="1" si="271"/>
        <v>#NAME?</v>
      </c>
      <c r="P410" s="399">
        <f t="shared" si="282"/>
        <v>0.44410264069608379</v>
      </c>
      <c r="Q410" s="400" t="e">
        <f t="shared" ca="1" si="280"/>
        <v>#NAME?</v>
      </c>
      <c r="R410" s="388" t="e">
        <f t="shared" ca="1" si="272"/>
        <v>#NAME?</v>
      </c>
      <c r="S410" s="388" t="e">
        <f t="shared" ca="1" si="273"/>
        <v>#NAME?</v>
      </c>
      <c r="T410" s="388" t="e">
        <f t="shared" ca="1" si="274"/>
        <v>#NAME?</v>
      </c>
      <c r="U410" s="388" t="e">
        <f t="shared" ca="1" si="275"/>
        <v>#NAME?</v>
      </c>
      <c r="V410" s="386" t="e">
        <f t="shared" ca="1" si="281"/>
        <v>#NAME?</v>
      </c>
      <c r="W410" s="395" t="e">
        <f t="shared" ca="1" si="276"/>
        <v>#NAME?</v>
      </c>
      <c r="X410" s="395" t="e">
        <f t="shared" ca="1" si="277"/>
        <v>#NAME?</v>
      </c>
      <c r="Y410" s="395" t="e">
        <f t="shared" ca="1" si="278"/>
        <v>#NAME?</v>
      </c>
    </row>
    <row r="411" spans="2:25" ht="12.75">
      <c r="B411" s="43" t="e">
        <f t="shared" ca="1" si="279"/>
        <v>#NAME?</v>
      </c>
      <c r="C411" s="371" t="e">
        <f t="shared" ca="1" si="269"/>
        <v>#NAME?</v>
      </c>
      <c r="D411" s="371" t="e">
        <f t="shared" ca="1" si="270"/>
        <v>#NAME?</v>
      </c>
      <c r="E411" s="346"/>
      <c r="F411" s="346"/>
      <c r="G411" s="346"/>
      <c r="H411" s="346"/>
      <c r="I411" s="346"/>
      <c r="J411" s="346"/>
      <c r="K411" s="346"/>
      <c r="L411" s="346"/>
      <c r="M411" s="346"/>
      <c r="N411" s="346"/>
      <c r="O411" s="396" t="e">
        <f t="shared" ca="1" si="271"/>
        <v>#NAME?</v>
      </c>
      <c r="P411" s="399">
        <f t="shared" si="282"/>
        <v>0.49233065441665907</v>
      </c>
      <c r="Q411" s="400" t="e">
        <f t="shared" ca="1" si="280"/>
        <v>#NAME?</v>
      </c>
      <c r="R411" s="388" t="e">
        <f t="shared" ca="1" si="272"/>
        <v>#NAME?</v>
      </c>
      <c r="S411" s="388" t="e">
        <f t="shared" ca="1" si="273"/>
        <v>#NAME?</v>
      </c>
      <c r="T411" s="388" t="e">
        <f t="shared" ca="1" si="274"/>
        <v>#NAME?</v>
      </c>
      <c r="U411" s="388" t="e">
        <f t="shared" ca="1" si="275"/>
        <v>#NAME?</v>
      </c>
      <c r="V411" s="386" t="e">
        <f t="shared" ca="1" si="281"/>
        <v>#NAME?</v>
      </c>
      <c r="W411" s="395" t="e">
        <f t="shared" ca="1" si="276"/>
        <v>#NAME?</v>
      </c>
      <c r="X411" s="395" t="e">
        <f t="shared" ca="1" si="277"/>
        <v>#NAME?</v>
      </c>
      <c r="Y411" s="395" t="e">
        <f t="shared" ca="1" si="278"/>
        <v>#NAME?</v>
      </c>
    </row>
    <row r="412" spans="2:25" ht="12.75">
      <c r="B412" s="43" t="e">
        <f t="shared" ca="1" si="279"/>
        <v>#NAME?</v>
      </c>
      <c r="C412" s="371" t="e">
        <f t="shared" ca="1" si="269"/>
        <v>#NAME?</v>
      </c>
      <c r="D412" s="371" t="e">
        <f t="shared" ca="1" si="270"/>
        <v>#NAME?</v>
      </c>
      <c r="E412" s="346"/>
      <c r="F412" s="346"/>
      <c r="G412" s="346"/>
      <c r="H412" s="346"/>
      <c r="I412" s="346"/>
      <c r="J412" s="346"/>
      <c r="K412" s="346"/>
      <c r="L412" s="346"/>
      <c r="M412" s="346"/>
      <c r="N412" s="346"/>
      <c r="O412" s="396" t="e">
        <f t="shared" ca="1" si="271"/>
        <v>#NAME?</v>
      </c>
      <c r="P412" s="399">
        <f t="shared" si="282"/>
        <v>0.5405586681372343</v>
      </c>
      <c r="Q412" s="400" t="e">
        <f t="shared" ca="1" si="280"/>
        <v>#NAME?</v>
      </c>
      <c r="R412" s="388" t="e">
        <f t="shared" ca="1" si="272"/>
        <v>#NAME?</v>
      </c>
      <c r="S412" s="388" t="e">
        <f t="shared" ca="1" si="273"/>
        <v>#NAME?</v>
      </c>
      <c r="T412" s="388" t="e">
        <f t="shared" ca="1" si="274"/>
        <v>#NAME?</v>
      </c>
      <c r="U412" s="388" t="e">
        <f t="shared" ca="1" si="275"/>
        <v>#NAME?</v>
      </c>
      <c r="V412" s="386" t="e">
        <f t="shared" ca="1" si="281"/>
        <v>#NAME?</v>
      </c>
      <c r="W412" s="395" t="e">
        <f t="shared" ca="1" si="276"/>
        <v>#NAME?</v>
      </c>
      <c r="X412" s="395" t="e">
        <f t="shared" ca="1" si="277"/>
        <v>#NAME?</v>
      </c>
      <c r="Y412" s="395" t="e">
        <f t="shared" ca="1" si="278"/>
        <v>#NAME?</v>
      </c>
    </row>
    <row r="413" spans="2:25" ht="12.75">
      <c r="B413" s="43" t="e">
        <f t="shared" ca="1" si="279"/>
        <v>#NAME?</v>
      </c>
      <c r="C413" s="371" t="e">
        <f t="shared" ca="1" si="269"/>
        <v>#NAME?</v>
      </c>
      <c r="D413" s="371" t="e">
        <f t="shared" ca="1" si="270"/>
        <v>#NAME?</v>
      </c>
      <c r="E413" s="346"/>
      <c r="F413" s="346"/>
      <c r="G413" s="346"/>
      <c r="H413" s="346"/>
      <c r="I413" s="346"/>
      <c r="J413" s="346"/>
      <c r="K413" s="346"/>
      <c r="L413" s="346"/>
      <c r="M413" s="346"/>
      <c r="N413" s="346"/>
      <c r="O413" s="396" t="e">
        <f t="shared" ca="1" si="271"/>
        <v>#NAME?</v>
      </c>
      <c r="P413" s="399">
        <f t="shared" si="282"/>
        <v>0.58878668185780958</v>
      </c>
      <c r="Q413" s="400" t="e">
        <f t="shared" ca="1" si="280"/>
        <v>#NAME?</v>
      </c>
      <c r="R413" s="388" t="e">
        <f t="shared" ca="1" si="272"/>
        <v>#NAME?</v>
      </c>
      <c r="S413" s="388" t="e">
        <f t="shared" ca="1" si="273"/>
        <v>#NAME?</v>
      </c>
      <c r="T413" s="388" t="e">
        <f t="shared" ca="1" si="274"/>
        <v>#NAME?</v>
      </c>
      <c r="U413" s="388" t="e">
        <f t="shared" ca="1" si="275"/>
        <v>#NAME?</v>
      </c>
      <c r="V413" s="386" t="e">
        <f t="shared" ca="1" si="281"/>
        <v>#NAME?</v>
      </c>
      <c r="W413" s="395" t="e">
        <f t="shared" ca="1" si="276"/>
        <v>#NAME?</v>
      </c>
      <c r="X413" s="395" t="e">
        <f t="shared" ca="1" si="277"/>
        <v>#NAME?</v>
      </c>
      <c r="Y413" s="395" t="e">
        <f t="shared" ca="1" si="278"/>
        <v>#NAME?</v>
      </c>
    </row>
    <row r="414" spans="2:25" ht="12.75">
      <c r="B414" s="43" t="e">
        <f t="shared" ca="1" si="279"/>
        <v>#NAME?</v>
      </c>
      <c r="C414" s="371" t="e">
        <f t="shared" ca="1" si="269"/>
        <v>#NAME?</v>
      </c>
      <c r="D414" s="371" t="e">
        <f t="shared" ca="1" si="270"/>
        <v>#NAME?</v>
      </c>
      <c r="E414" s="346"/>
      <c r="F414" s="346"/>
      <c r="G414" s="346"/>
      <c r="H414" s="346"/>
      <c r="I414" s="346"/>
      <c r="J414" s="346"/>
      <c r="K414" s="346"/>
      <c r="L414" s="346"/>
      <c r="M414" s="346"/>
      <c r="N414" s="346"/>
      <c r="O414" s="396" t="e">
        <f t="shared" ca="1" si="271"/>
        <v>#NAME?</v>
      </c>
      <c r="P414" s="399">
        <f t="shared" si="282"/>
        <v>0.63701469557838486</v>
      </c>
      <c r="Q414" s="400" t="e">
        <f t="shared" ca="1" si="280"/>
        <v>#NAME?</v>
      </c>
      <c r="R414" s="388" t="e">
        <f t="shared" ca="1" si="272"/>
        <v>#NAME?</v>
      </c>
      <c r="S414" s="388" t="e">
        <f t="shared" ca="1" si="273"/>
        <v>#NAME?</v>
      </c>
      <c r="T414" s="388" t="e">
        <f t="shared" ca="1" si="274"/>
        <v>#NAME?</v>
      </c>
      <c r="U414" s="388" t="e">
        <f t="shared" ca="1" si="275"/>
        <v>#NAME?</v>
      </c>
      <c r="V414" s="386" t="e">
        <f t="shared" ca="1" si="281"/>
        <v>#NAME?</v>
      </c>
      <c r="W414" s="395" t="e">
        <f t="shared" ca="1" si="276"/>
        <v>#NAME?</v>
      </c>
      <c r="X414" s="395" t="e">
        <f t="shared" ca="1" si="277"/>
        <v>#NAME?</v>
      </c>
      <c r="Y414" s="395" t="e">
        <f t="shared" ca="1" si="278"/>
        <v>#NAME?</v>
      </c>
    </row>
    <row r="415" spans="2:25" ht="12.75">
      <c r="B415" s="43" t="e">
        <f t="shared" ca="1" si="279"/>
        <v>#NAME?</v>
      </c>
      <c r="C415" s="371" t="e">
        <f t="shared" ca="1" si="269"/>
        <v>#NAME?</v>
      </c>
      <c r="D415" s="371" t="e">
        <f t="shared" ca="1" si="270"/>
        <v>#NAME?</v>
      </c>
      <c r="E415" s="346"/>
      <c r="F415" s="346"/>
      <c r="G415" s="346"/>
      <c r="H415" s="346"/>
      <c r="I415" s="346"/>
      <c r="J415" s="346"/>
      <c r="K415" s="346"/>
      <c r="L415" s="346"/>
      <c r="M415" s="346"/>
      <c r="N415" s="346"/>
      <c r="O415" s="396" t="e">
        <f t="shared" ca="1" si="271"/>
        <v>#NAME?</v>
      </c>
      <c r="P415" s="399">
        <f t="shared" si="282"/>
        <v>0.68524270929896014</v>
      </c>
      <c r="Q415" s="400" t="e">
        <f t="shared" ca="1" si="280"/>
        <v>#NAME?</v>
      </c>
      <c r="R415" s="388" t="e">
        <f t="shared" ca="1" si="272"/>
        <v>#NAME?</v>
      </c>
      <c r="S415" s="388" t="e">
        <f t="shared" ca="1" si="273"/>
        <v>#NAME?</v>
      </c>
      <c r="T415" s="388" t="e">
        <f t="shared" ca="1" si="274"/>
        <v>#NAME?</v>
      </c>
      <c r="U415" s="388" t="e">
        <f t="shared" ca="1" si="275"/>
        <v>#NAME?</v>
      </c>
      <c r="V415" s="386" t="e">
        <f t="shared" ca="1" si="281"/>
        <v>#NAME?</v>
      </c>
      <c r="W415" s="395" t="e">
        <f t="shared" ca="1" si="276"/>
        <v>#NAME?</v>
      </c>
      <c r="X415" s="395" t="e">
        <f t="shared" ca="1" si="277"/>
        <v>#NAME?</v>
      </c>
      <c r="Y415" s="395" t="e">
        <f t="shared" ca="1" si="278"/>
        <v>#NAME?</v>
      </c>
    </row>
    <row r="416" spans="2:25" ht="12.75">
      <c r="B416" s="43" t="e">
        <f t="shared" ca="1" si="279"/>
        <v>#NAME?</v>
      </c>
      <c r="C416" s="371" t="e">
        <f t="shared" ca="1" si="269"/>
        <v>#NAME?</v>
      </c>
      <c r="D416" s="371" t="e">
        <f t="shared" ca="1" si="270"/>
        <v>#NAME?</v>
      </c>
      <c r="E416" s="346"/>
      <c r="F416" s="346"/>
      <c r="G416" s="346"/>
      <c r="H416" s="346"/>
      <c r="I416" s="346"/>
      <c r="J416" s="346"/>
      <c r="K416" s="346"/>
      <c r="L416" s="346"/>
      <c r="M416" s="346"/>
      <c r="N416" s="346"/>
      <c r="O416" s="396" t="e">
        <f t="shared" ca="1" si="271"/>
        <v>#NAME?</v>
      </c>
      <c r="P416" s="399">
        <f t="shared" si="282"/>
        <v>0.73347072301953542</v>
      </c>
      <c r="Q416" s="400" t="e">
        <f t="shared" ca="1" si="280"/>
        <v>#NAME?</v>
      </c>
      <c r="R416" s="388" t="e">
        <f t="shared" ca="1" si="272"/>
        <v>#NAME?</v>
      </c>
      <c r="S416" s="388" t="e">
        <f t="shared" ca="1" si="273"/>
        <v>#NAME?</v>
      </c>
      <c r="T416" s="388" t="e">
        <f t="shared" ca="1" si="274"/>
        <v>#NAME?</v>
      </c>
      <c r="U416" s="388" t="e">
        <f t="shared" ca="1" si="275"/>
        <v>#NAME?</v>
      </c>
      <c r="V416" s="386" t="e">
        <f t="shared" ca="1" si="281"/>
        <v>#NAME?</v>
      </c>
      <c r="W416" s="395" t="e">
        <f t="shared" ca="1" si="276"/>
        <v>#NAME?</v>
      </c>
      <c r="X416" s="395" t="e">
        <f t="shared" ca="1" si="277"/>
        <v>#NAME?</v>
      </c>
      <c r="Y416" s="395" t="e">
        <f t="shared" ca="1" si="278"/>
        <v>#NAME?</v>
      </c>
    </row>
    <row r="417" spans="2:25" ht="12.75">
      <c r="B417" s="43" t="e">
        <f t="shared" ca="1" si="279"/>
        <v>#NAME?</v>
      </c>
      <c r="C417" s="371" t="e">
        <f t="shared" ca="1" si="269"/>
        <v>#NAME?</v>
      </c>
      <c r="D417" s="371" t="e">
        <f t="shared" ca="1" si="270"/>
        <v>#NAME?</v>
      </c>
      <c r="E417" s="346"/>
      <c r="F417" s="346"/>
      <c r="G417" s="346"/>
      <c r="H417" s="346"/>
      <c r="I417" s="346"/>
      <c r="J417" s="346"/>
      <c r="K417" s="346"/>
      <c r="L417" s="346"/>
      <c r="M417" s="346"/>
      <c r="N417" s="346"/>
      <c r="O417" s="396" t="e">
        <f t="shared" ca="1" si="271"/>
        <v>#NAME?</v>
      </c>
      <c r="P417" s="399">
        <f t="shared" si="282"/>
        <v>0.7816987367401107</v>
      </c>
      <c r="Q417" s="400" t="e">
        <f t="shared" ca="1" si="280"/>
        <v>#NAME?</v>
      </c>
      <c r="R417" s="388" t="e">
        <f t="shared" ca="1" si="272"/>
        <v>#NAME?</v>
      </c>
      <c r="S417" s="388" t="e">
        <f t="shared" ca="1" si="273"/>
        <v>#NAME?</v>
      </c>
      <c r="T417" s="388" t="e">
        <f t="shared" ca="1" si="274"/>
        <v>#NAME?</v>
      </c>
      <c r="U417" s="388" t="e">
        <f t="shared" ca="1" si="275"/>
        <v>#NAME?</v>
      </c>
      <c r="V417" s="386" t="e">
        <f t="shared" ca="1" si="281"/>
        <v>#NAME?</v>
      </c>
      <c r="W417" s="395" t="e">
        <f t="shared" ca="1" si="276"/>
        <v>#NAME?</v>
      </c>
      <c r="X417" s="395" t="e">
        <f t="shared" ca="1" si="277"/>
        <v>#NAME?</v>
      </c>
      <c r="Y417" s="395" t="e">
        <f t="shared" ca="1" si="278"/>
        <v>#NAME?</v>
      </c>
    </row>
    <row r="418" spans="2:25" ht="12.75">
      <c r="B418" s="43" t="e">
        <f t="shared" ca="1" si="279"/>
        <v>#NAME?</v>
      </c>
      <c r="C418" s="371" t="e">
        <f t="shared" ca="1" si="269"/>
        <v>#NAME?</v>
      </c>
      <c r="D418" s="371" t="e">
        <f t="shared" ca="1" si="270"/>
        <v>#NAME?</v>
      </c>
      <c r="E418" s="346"/>
      <c r="F418" s="346"/>
      <c r="G418" s="346"/>
      <c r="H418" s="346"/>
      <c r="I418" s="346"/>
      <c r="J418" s="346"/>
      <c r="K418" s="346"/>
      <c r="L418" s="346"/>
      <c r="M418" s="346"/>
      <c r="N418" s="346"/>
      <c r="O418" s="396" t="e">
        <f t="shared" ca="1" si="271"/>
        <v>#NAME?</v>
      </c>
      <c r="P418" s="399">
        <f t="shared" si="282"/>
        <v>0.82992675046068598</v>
      </c>
      <c r="Q418" s="400" t="e">
        <f t="shared" ca="1" si="280"/>
        <v>#NAME?</v>
      </c>
      <c r="R418" s="388" t="e">
        <f t="shared" ca="1" si="272"/>
        <v>#NAME?</v>
      </c>
      <c r="S418" s="388" t="e">
        <f t="shared" ca="1" si="273"/>
        <v>#NAME?</v>
      </c>
      <c r="T418" s="388" t="e">
        <f t="shared" ca="1" si="274"/>
        <v>#NAME?</v>
      </c>
      <c r="U418" s="388" t="e">
        <f t="shared" ca="1" si="275"/>
        <v>#NAME?</v>
      </c>
      <c r="V418" s="386" t="e">
        <f t="shared" ca="1" si="281"/>
        <v>#NAME?</v>
      </c>
      <c r="W418" s="395" t="e">
        <f t="shared" ca="1" si="276"/>
        <v>#NAME?</v>
      </c>
      <c r="X418" s="395" t="e">
        <f t="shared" ca="1" si="277"/>
        <v>#NAME?</v>
      </c>
      <c r="Y418" s="395" t="e">
        <f t="shared" ca="1" si="278"/>
        <v>#NAME?</v>
      </c>
    </row>
    <row r="419" spans="2:25" ht="12.75">
      <c r="B419" s="43" t="e">
        <f t="shared" ca="1" si="279"/>
        <v>#NAME?</v>
      </c>
      <c r="C419" s="371" t="e">
        <f t="shared" ca="1" si="269"/>
        <v>#NAME?</v>
      </c>
      <c r="D419" s="371" t="e">
        <f t="shared" ca="1" si="270"/>
        <v>#NAME?</v>
      </c>
      <c r="E419" s="346"/>
      <c r="F419" s="346"/>
      <c r="G419" s="346"/>
      <c r="H419" s="346"/>
      <c r="I419" s="346"/>
      <c r="J419" s="346"/>
      <c r="K419" s="346"/>
      <c r="L419" s="346"/>
      <c r="M419" s="346"/>
      <c r="N419" s="346"/>
      <c r="O419" s="396" t="e">
        <f t="shared" ca="1" si="271"/>
        <v>#NAME?</v>
      </c>
      <c r="P419" s="399">
        <f t="shared" si="282"/>
        <v>0.87815476418126126</v>
      </c>
      <c r="Q419" s="400" t="e">
        <f t="shared" ca="1" si="280"/>
        <v>#NAME?</v>
      </c>
      <c r="R419" s="388" t="e">
        <f t="shared" ca="1" si="272"/>
        <v>#NAME?</v>
      </c>
      <c r="S419" s="388" t="e">
        <f t="shared" ca="1" si="273"/>
        <v>#NAME?</v>
      </c>
      <c r="T419" s="388" t="e">
        <f t="shared" ca="1" si="274"/>
        <v>#NAME?</v>
      </c>
      <c r="U419" s="388" t="e">
        <f t="shared" ca="1" si="275"/>
        <v>#NAME?</v>
      </c>
      <c r="V419" s="386" t="e">
        <f t="shared" ca="1" si="281"/>
        <v>#NAME?</v>
      </c>
      <c r="W419" s="395" t="e">
        <f t="shared" ca="1" si="276"/>
        <v>#NAME?</v>
      </c>
      <c r="X419" s="395" t="e">
        <f t="shared" ca="1" si="277"/>
        <v>#NAME?</v>
      </c>
      <c r="Y419" s="395" t="e">
        <f t="shared" ca="1" si="278"/>
        <v>#NAME?</v>
      </c>
    </row>
    <row r="420" spans="2:25" ht="12.75">
      <c r="B420" s="43" t="e">
        <f t="shared" ca="1" si="279"/>
        <v>#NAME?</v>
      </c>
      <c r="C420" s="371" t="e">
        <f t="shared" ca="1" si="269"/>
        <v>#NAME?</v>
      </c>
      <c r="D420" s="371" t="e">
        <f t="shared" ca="1" si="270"/>
        <v>#NAME?</v>
      </c>
      <c r="E420" s="346"/>
      <c r="F420" s="346"/>
      <c r="G420" s="346"/>
      <c r="H420" s="346"/>
      <c r="I420" s="346"/>
      <c r="J420" s="346"/>
      <c r="K420" s="346"/>
      <c r="L420" s="346"/>
      <c r="M420" s="346"/>
      <c r="N420" s="346"/>
      <c r="O420" s="396" t="e">
        <f t="shared" ca="1" si="271"/>
        <v>#NAME?</v>
      </c>
      <c r="P420" s="399">
        <f t="shared" si="282"/>
        <v>0.92638277790183654</v>
      </c>
      <c r="Q420" s="400" t="e">
        <f t="shared" ca="1" si="280"/>
        <v>#NAME?</v>
      </c>
      <c r="R420" s="388" t="e">
        <f t="shared" ca="1" si="272"/>
        <v>#NAME?</v>
      </c>
      <c r="S420" s="388" t="e">
        <f t="shared" ca="1" si="273"/>
        <v>#NAME?</v>
      </c>
      <c r="T420" s="388" t="e">
        <f t="shared" ca="1" si="274"/>
        <v>#NAME?</v>
      </c>
      <c r="U420" s="388" t="e">
        <f t="shared" ca="1" si="275"/>
        <v>#NAME?</v>
      </c>
      <c r="V420" s="386" t="e">
        <f t="shared" ca="1" si="281"/>
        <v>#NAME?</v>
      </c>
      <c r="W420" s="395" t="e">
        <f t="shared" ca="1" si="276"/>
        <v>#NAME?</v>
      </c>
      <c r="X420" s="395" t="e">
        <f t="shared" ca="1" si="277"/>
        <v>#NAME?</v>
      </c>
      <c r="Y420" s="395" t="e">
        <f t="shared" ca="1" si="278"/>
        <v>#NAME?</v>
      </c>
    </row>
    <row r="421" spans="2:25" ht="13.5" thickBot="1">
      <c r="B421" s="43" t="e">
        <f t="shared" ca="1" si="279"/>
        <v>#NAME?</v>
      </c>
      <c r="C421" s="371" t="e">
        <f t="shared" ca="1" si="269"/>
        <v>#NAME?</v>
      </c>
      <c r="D421" s="371" t="e">
        <f t="shared" ca="1" si="270"/>
        <v>#NAME?</v>
      </c>
      <c r="E421" s="374"/>
      <c r="F421" s="372"/>
      <c r="G421" s="372"/>
      <c r="H421" s="372"/>
      <c r="I421" s="372"/>
      <c r="J421" s="372"/>
      <c r="K421" s="372"/>
      <c r="L421" s="372"/>
      <c r="M421" s="372"/>
      <c r="N421" s="372"/>
      <c r="O421" s="396" t="e">
        <f t="shared" ca="1" si="271"/>
        <v>#NAME?</v>
      </c>
      <c r="P421" s="399">
        <f t="shared" si="282"/>
        <v>0.97461079162241182</v>
      </c>
      <c r="Q421" s="401" t="e">
        <f t="shared" ca="1" si="280"/>
        <v>#NAME?</v>
      </c>
      <c r="R421" s="389" t="e">
        <f t="shared" ca="1" si="272"/>
        <v>#NAME?</v>
      </c>
      <c r="S421" s="389" t="e">
        <f t="shared" ca="1" si="273"/>
        <v>#NAME?</v>
      </c>
      <c r="T421" s="389" t="e">
        <f t="shared" ca="1" si="274"/>
        <v>#NAME?</v>
      </c>
      <c r="U421" s="389" t="e">
        <f t="shared" ca="1" si="275"/>
        <v>#NAME?</v>
      </c>
      <c r="V421" s="390" t="e">
        <f t="shared" ca="1" si="281"/>
        <v>#NAME?</v>
      </c>
      <c r="W421" s="395" t="e">
        <f t="shared" ca="1" si="276"/>
        <v>#NAME?</v>
      </c>
      <c r="X421" s="395" t="e">
        <f t="shared" ca="1" si="277"/>
        <v>#NAME?</v>
      </c>
      <c r="Y421" s="395" t="e">
        <f t="shared" ca="1" si="278"/>
        <v>#NAME?</v>
      </c>
    </row>
    <row r="422" spans="2:25" ht="12.75">
      <c r="B422" s="72"/>
    </row>
    <row r="423" spans="2:25" ht="12.75">
      <c r="B423" s="72"/>
    </row>
    <row r="424" spans="2:25" ht="12.75">
      <c r="B424" s="327"/>
    </row>
  </sheetData>
  <mergeCells count="1">
    <mergeCell ref="B5:D5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7"/>
  <sheetViews>
    <sheetView showGridLines="0" tabSelected="1" topLeftCell="B115" workbookViewId="0">
      <selection activeCell="F134" sqref="F134"/>
    </sheetView>
  </sheetViews>
  <sheetFormatPr baseColWidth="10" defaultRowHeight="12.75"/>
  <cols>
    <col min="6" max="6" width="14.5703125" bestFit="1" customWidth="1"/>
    <col min="10" max="10" width="14.5703125" bestFit="1" customWidth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">
      <c r="A2" s="5" t="s">
        <v>152</v>
      </c>
      <c r="B2" s="2"/>
      <c r="C2" s="2"/>
      <c r="D2" s="2"/>
      <c r="E2" s="2"/>
      <c r="F2" s="2"/>
      <c r="G2" s="2"/>
      <c r="H2" s="2"/>
      <c r="I2" s="2"/>
      <c r="J2" s="28" t="s">
        <v>354</v>
      </c>
      <c r="K2" s="2"/>
      <c r="L2" s="29" t="s">
        <v>153</v>
      </c>
      <c r="M2" s="2"/>
      <c r="N2" s="2"/>
      <c r="O2" s="28" t="s">
        <v>355</v>
      </c>
      <c r="P2" s="2"/>
      <c r="Q2" s="402" t="s">
        <v>356</v>
      </c>
      <c r="R2" s="2"/>
      <c r="S2" s="2"/>
      <c r="T2" s="2"/>
      <c r="U2" s="2"/>
      <c r="V2" s="2"/>
      <c r="W2" s="2"/>
      <c r="X2" s="2"/>
      <c r="Y2" s="2"/>
      <c r="Z2" s="2"/>
    </row>
    <row r="3" spans="1:26" ht="18">
      <c r="A3" s="141" t="s">
        <v>50</v>
      </c>
    </row>
    <row r="4" spans="1:26" ht="15">
      <c r="A4" s="9" t="s">
        <v>53</v>
      </c>
      <c r="E4" s="9" t="s">
        <v>154</v>
      </c>
      <c r="N4" s="142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4"/>
    </row>
    <row r="5" spans="1:26" ht="18">
      <c r="A5" s="31" t="s">
        <v>5</v>
      </c>
      <c r="B5" s="417" t="s">
        <v>102</v>
      </c>
      <c r="C5" s="417"/>
      <c r="D5" s="418"/>
      <c r="E5" s="145">
        <v>1</v>
      </c>
      <c r="N5" s="146"/>
      <c r="O5" s="147" t="s">
        <v>155</v>
      </c>
      <c r="P5" s="148"/>
      <c r="Q5" s="148"/>
      <c r="R5" s="148"/>
      <c r="S5" s="148"/>
      <c r="T5" s="148"/>
      <c r="U5" s="148"/>
      <c r="V5" s="148"/>
      <c r="W5" s="148"/>
      <c r="X5" s="148"/>
      <c r="Y5" s="149"/>
    </row>
    <row r="6" spans="1:26">
      <c r="A6" s="34"/>
      <c r="B6" s="88" t="str">
        <f>IF(SISTEMA="Usuario: Datos ingresados ",CONCATENATE("(",User.Comp1," y ",User.Comp2,")"),)</f>
        <v>(Disulfuro de carbono y Tetracloruro de carbono)</v>
      </c>
      <c r="N6" s="146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9"/>
    </row>
    <row r="7" spans="1:26">
      <c r="N7" s="146"/>
      <c r="O7" s="148"/>
      <c r="P7" s="148"/>
      <c r="Q7" s="148"/>
      <c r="R7" s="148"/>
      <c r="S7" s="151" t="str">
        <f>'Líneas de Tendencia'!A9</f>
        <v>x1</v>
      </c>
      <c r="T7" s="151" t="str">
        <f>'Líneas de Tendencia'!B9</f>
        <v>y1*</v>
      </c>
      <c r="U7" s="151" t="str">
        <f>'Líneas de Tendencia'!C9</f>
        <v>T (°C) sat</v>
      </c>
      <c r="V7" s="151" t="s">
        <v>151</v>
      </c>
      <c r="W7" s="151" t="s">
        <v>101</v>
      </c>
      <c r="X7" s="148"/>
      <c r="Y7" s="149"/>
    </row>
    <row r="8" spans="1:26" ht="18">
      <c r="A8" s="141" t="s">
        <v>79</v>
      </c>
      <c r="N8" s="146"/>
      <c r="O8" s="148"/>
      <c r="P8" s="148"/>
      <c r="Q8" s="148"/>
      <c r="R8" s="148"/>
      <c r="S8" s="373">
        <f ca="1">'Líneas de Tendencia'!A10</f>
        <v>0</v>
      </c>
      <c r="T8" s="373">
        <f ca="1">'Líneas de Tendencia'!B10</f>
        <v>0</v>
      </c>
      <c r="U8" s="373">
        <f ca="1">'Líneas de Tendencia'!C10</f>
        <v>76.7</v>
      </c>
      <c r="V8" s="153">
        <v>372.52736349279246</v>
      </c>
      <c r="W8" s="153">
        <f ca="1">S8</f>
        <v>0</v>
      </c>
      <c r="X8" s="148"/>
      <c r="Y8" s="149"/>
    </row>
    <row r="9" spans="1:26" ht="15">
      <c r="A9" s="9" t="s">
        <v>168</v>
      </c>
      <c r="N9" s="146"/>
      <c r="O9" s="148"/>
      <c r="P9" s="148"/>
      <c r="Q9" s="148"/>
      <c r="R9" s="148"/>
      <c r="S9" s="373">
        <f ca="1">'Líneas de Tendencia'!A11</f>
        <v>1.4800000000000001E-2</v>
      </c>
      <c r="T9" s="373">
        <f ca="1">'Líneas de Tendencia'!B11</f>
        <v>4.1200000000000001E-2</v>
      </c>
      <c r="U9" s="373">
        <f ca="1">'Líneas de Tendencia'!C11</f>
        <v>75.8</v>
      </c>
      <c r="V9" s="153">
        <v>363.24260820824037</v>
      </c>
      <c r="W9" s="153">
        <f t="shared" ref="W9:W28" ca="1" si="0">S9</f>
        <v>1.4800000000000001E-2</v>
      </c>
      <c r="X9" s="148"/>
      <c r="Y9" s="149"/>
    </row>
    <row r="10" spans="1:26">
      <c r="N10" s="146"/>
      <c r="O10" s="148"/>
      <c r="P10" s="148"/>
      <c r="Q10" s="148"/>
      <c r="R10" s="148"/>
      <c r="S10" s="373">
        <f ca="1">'Líneas de Tendencia'!A12</f>
        <v>2.9600000000000001E-2</v>
      </c>
      <c r="T10" s="373">
        <f ca="1">'Líneas de Tendencia'!B12</f>
        <v>8.2299999999999998E-2</v>
      </c>
      <c r="U10" s="373">
        <f ca="1">'Líneas de Tendencia'!C12</f>
        <v>74.900000000000006</v>
      </c>
      <c r="V10" s="153">
        <v>359.27090028061258</v>
      </c>
      <c r="W10" s="153">
        <f t="shared" ca="1" si="0"/>
        <v>2.9600000000000001E-2</v>
      </c>
      <c r="X10" s="148"/>
      <c r="Y10" s="149"/>
    </row>
    <row r="11" spans="1:26">
      <c r="B11" s="154" t="s">
        <v>169</v>
      </c>
      <c r="C11" s="155">
        <v>50</v>
      </c>
      <c r="D11" s="156" t="s">
        <v>358</v>
      </c>
      <c r="E11" s="157"/>
      <c r="F11" s="154" t="s">
        <v>170</v>
      </c>
      <c r="G11" s="155">
        <v>4000</v>
      </c>
      <c r="H11" s="156" t="s">
        <v>292</v>
      </c>
      <c r="N11" s="146"/>
      <c r="O11" s="148"/>
      <c r="P11" s="148"/>
      <c r="Q11" s="148"/>
      <c r="R11" s="148"/>
      <c r="S11" s="373">
        <f ca="1">'Líneas de Tendencia'!A13</f>
        <v>4.5600000000000002E-2</v>
      </c>
      <c r="T11" s="373">
        <f ca="1">'Líneas de Tendencia'!B13</f>
        <v>0.11890000000000001</v>
      </c>
      <c r="U11" s="373">
        <f ca="1">'Líneas de Tendencia'!C13</f>
        <v>74</v>
      </c>
      <c r="V11" s="153">
        <v>357.18219086480559</v>
      </c>
      <c r="W11" s="153">
        <f t="shared" ca="1" si="0"/>
        <v>4.5600000000000002E-2</v>
      </c>
      <c r="X11" s="148"/>
      <c r="Y11" s="149"/>
    </row>
    <row r="12" spans="1:26">
      <c r="B12" s="158"/>
      <c r="C12" s="157"/>
      <c r="D12" s="157"/>
      <c r="E12" s="157"/>
      <c r="F12" s="157"/>
      <c r="G12" s="157"/>
      <c r="H12" s="157"/>
      <c r="N12" s="146"/>
      <c r="O12" s="148"/>
      <c r="P12" s="148"/>
      <c r="Q12" s="148"/>
      <c r="R12" s="148"/>
      <c r="S12" s="373">
        <f ca="1">'Líneas de Tendencia'!A14</f>
        <v>6.1499999999999999E-2</v>
      </c>
      <c r="T12" s="373">
        <f ca="1">'Líneas de Tendencia'!B14</f>
        <v>0.1555</v>
      </c>
      <c r="U12" s="373">
        <f ca="1">'Líneas de Tendencia'!C14</f>
        <v>73.099999999999994</v>
      </c>
      <c r="V12" s="153">
        <v>355.92470301360481</v>
      </c>
      <c r="W12" s="153">
        <f t="shared" ca="1" si="0"/>
        <v>6.1499999999999999E-2</v>
      </c>
      <c r="X12" s="148"/>
      <c r="Y12" s="149"/>
    </row>
    <row r="13" spans="1:26">
      <c r="B13" s="159" t="s">
        <v>171</v>
      </c>
      <c r="C13" s="160">
        <v>95</v>
      </c>
      <c r="D13" s="161" t="s">
        <v>358</v>
      </c>
      <c r="E13" s="157"/>
      <c r="F13" s="163" t="s">
        <v>172</v>
      </c>
      <c r="G13" s="164">
        <v>0</v>
      </c>
      <c r="H13" s="165" t="s">
        <v>173</v>
      </c>
      <c r="I13" s="88" t="s">
        <v>174</v>
      </c>
      <c r="N13" s="146"/>
      <c r="O13" s="148"/>
      <c r="P13" s="148"/>
      <c r="Q13" s="148"/>
      <c r="R13" s="148"/>
      <c r="S13" s="373">
        <f ca="1">'Líneas de Tendencia'!A15</f>
        <v>8.6099999999999996E-2</v>
      </c>
      <c r="T13" s="373">
        <f ca="1">'Líneas de Tendencia'!B15</f>
        <v>0.21079999999999999</v>
      </c>
      <c r="U13" s="373">
        <f ca="1">'Líneas de Tendencia'!C15</f>
        <v>71.7</v>
      </c>
      <c r="V13" s="153">
        <v>355.07491525028598</v>
      </c>
      <c r="W13" s="153">
        <f t="shared" ca="1" si="0"/>
        <v>8.6099999999999996E-2</v>
      </c>
      <c r="X13" s="148"/>
      <c r="Y13" s="149"/>
    </row>
    <row r="14" spans="1:26">
      <c r="B14" s="166"/>
      <c r="C14" s="157"/>
      <c r="D14" s="157"/>
      <c r="E14" s="157"/>
      <c r="F14" s="157"/>
      <c r="G14" s="157"/>
      <c r="H14" s="157"/>
      <c r="N14" s="146"/>
      <c r="O14" s="148"/>
      <c r="P14" s="148"/>
      <c r="Q14" s="148"/>
      <c r="R14" s="148"/>
      <c r="S14" s="373">
        <f ca="1">'Líneas de Tendencia'!A16</f>
        <v>0.1106</v>
      </c>
      <c r="T14" s="373">
        <f ca="1">'Líneas de Tendencia'!B16</f>
        <v>0.26600000000000001</v>
      </c>
      <c r="U14" s="373">
        <f ca="1">'Líneas de Tendencia'!C16</f>
        <v>70.3</v>
      </c>
      <c r="V14" s="153">
        <v>354.43802251040387</v>
      </c>
      <c r="W14" s="153">
        <f t="shared" ca="1" si="0"/>
        <v>0.1106</v>
      </c>
      <c r="X14" s="148"/>
      <c r="Y14" s="149"/>
    </row>
    <row r="15" spans="1:26">
      <c r="B15" s="168" t="s">
        <v>175</v>
      </c>
      <c r="C15" s="169">
        <v>0.5</v>
      </c>
      <c r="D15" s="170" t="s">
        <v>358</v>
      </c>
      <c r="E15" s="157"/>
      <c r="F15" s="157"/>
      <c r="G15" s="157"/>
      <c r="H15" s="157"/>
      <c r="N15" s="146"/>
      <c r="O15" s="148"/>
      <c r="P15" s="148"/>
      <c r="Q15" s="148"/>
      <c r="R15" s="148"/>
      <c r="S15" s="373">
        <f ca="1">'Líneas de Tendencia'!A17</f>
        <v>0.14349999999999999</v>
      </c>
      <c r="T15" s="373">
        <f ca="1">'Líneas de Tendencia'!B17</f>
        <v>0.33250000000000002</v>
      </c>
      <c r="U15" s="373">
        <f ca="1">'Líneas de Tendencia'!C17</f>
        <v>68.599999999999994</v>
      </c>
      <c r="V15" s="153">
        <v>353.91821959461248</v>
      </c>
      <c r="W15" s="153">
        <f t="shared" ca="1" si="0"/>
        <v>0.14349999999999999</v>
      </c>
      <c r="X15" s="148"/>
      <c r="Y15" s="149"/>
    </row>
    <row r="16" spans="1:26">
      <c r="N16" s="146"/>
      <c r="O16" s="148"/>
      <c r="P16" s="148"/>
      <c r="Q16" s="148"/>
      <c r="R16" s="148"/>
      <c r="S16" s="373">
        <f ca="1">'Líneas de Tendencia'!A18</f>
        <v>0.20100000000000001</v>
      </c>
      <c r="T16" s="373">
        <f ca="1">'Líneas de Tendencia'!B18</f>
        <v>0.4138</v>
      </c>
      <c r="U16" s="373">
        <f ca="1">'Líneas de Tendencia'!C18</f>
        <v>66.2</v>
      </c>
      <c r="V16" s="153">
        <v>353.46727952369429</v>
      </c>
      <c r="W16" s="153">
        <f t="shared" ca="1" si="0"/>
        <v>0.20100000000000001</v>
      </c>
      <c r="X16" s="148"/>
      <c r="Y16" s="149"/>
    </row>
    <row r="17" spans="1:25">
      <c r="B17" s="35"/>
      <c r="C17" s="35"/>
      <c r="D17" s="35"/>
      <c r="E17" s="35"/>
      <c r="F17" s="35"/>
      <c r="N17" s="146"/>
      <c r="O17" s="148"/>
      <c r="P17" s="148"/>
      <c r="Q17" s="148"/>
      <c r="R17" s="148"/>
      <c r="S17" s="373">
        <f ca="1">'Líneas de Tendencia'!A19</f>
        <v>0.25850000000000001</v>
      </c>
      <c r="T17" s="373">
        <f ca="1">'Líneas de Tendencia'!B19</f>
        <v>0.495</v>
      </c>
      <c r="U17" s="373">
        <f ca="1">'Líneas de Tendencia'!C19</f>
        <v>63.8</v>
      </c>
      <c r="V17" s="153">
        <v>353.06139271159986</v>
      </c>
      <c r="W17" s="153">
        <f t="shared" ca="1" si="0"/>
        <v>0.25850000000000001</v>
      </c>
      <c r="X17" s="148"/>
      <c r="Y17" s="149"/>
    </row>
    <row r="18" spans="1:25" ht="18">
      <c r="A18" s="141" t="s">
        <v>87</v>
      </c>
      <c r="F18" s="172" t="str">
        <f>IF(O28="Agua","Vapor vivo"," ")</f>
        <v xml:space="preserve"> </v>
      </c>
      <c r="N18" s="146"/>
      <c r="O18" s="148"/>
      <c r="P18" s="148"/>
      <c r="Q18" s="148"/>
      <c r="R18" s="148"/>
      <c r="S18" s="373">
        <f ca="1">'Líneas de Tendencia'!A20</f>
        <v>0.39079999999999998</v>
      </c>
      <c r="T18" s="373">
        <f ca="1">'Líneas de Tendencia'!B20</f>
        <v>0.63400000000000001</v>
      </c>
      <c r="U18" s="373">
        <f ca="1">'Líneas de Tendencia'!C20</f>
        <v>59.3</v>
      </c>
      <c r="V18" s="153">
        <v>352.68981278529048</v>
      </c>
      <c r="W18" s="153">
        <f t="shared" ca="1" si="0"/>
        <v>0.39079999999999998</v>
      </c>
      <c r="X18" s="148"/>
      <c r="Y18" s="149"/>
    </row>
    <row r="19" spans="1:25" ht="15">
      <c r="A19" s="9" t="s">
        <v>176</v>
      </c>
      <c r="C19" s="173" t="s">
        <v>337</v>
      </c>
      <c r="F19" s="172" t="s">
        <v>177</v>
      </c>
      <c r="N19" s="146"/>
      <c r="O19" s="148"/>
      <c r="P19" s="148"/>
      <c r="Q19" s="148"/>
      <c r="R19" s="148"/>
      <c r="S19" s="373">
        <f ca="1">'Líneas de Tendencia'!A21</f>
        <v>0.46129999999999999</v>
      </c>
      <c r="T19" s="373">
        <f ca="1">'Líneas de Tendencia'!B21</f>
        <v>0.6905</v>
      </c>
      <c r="U19" s="373">
        <f ca="1">'Líneas de Tendencia'!C21</f>
        <v>57.3</v>
      </c>
      <c r="V19" s="153">
        <v>352.34894639265235</v>
      </c>
      <c r="W19" s="153">
        <f t="shared" ca="1" si="0"/>
        <v>0.46129999999999999</v>
      </c>
      <c r="X19" s="148"/>
      <c r="Y19" s="149"/>
    </row>
    <row r="20" spans="1:25">
      <c r="F20" s="174"/>
      <c r="N20" s="146"/>
      <c r="O20" s="148"/>
      <c r="P20" s="148"/>
      <c r="Q20" s="148"/>
      <c r="R20" s="148"/>
      <c r="S20" s="373">
        <f ca="1">'Líneas de Tendencia'!A22</f>
        <v>0.53180000000000005</v>
      </c>
      <c r="T20" s="373">
        <f ca="1">'Líneas de Tendencia'!B22</f>
        <v>0.747</v>
      </c>
      <c r="U20" s="373">
        <f ca="1">'Líneas de Tendencia'!C22</f>
        <v>55.3</v>
      </c>
      <c r="V20" s="153">
        <v>352.03916888525566</v>
      </c>
      <c r="W20" s="153">
        <f t="shared" ca="1" si="0"/>
        <v>0.53180000000000005</v>
      </c>
      <c r="X20" s="148"/>
      <c r="Y20" s="149"/>
    </row>
    <row r="21" spans="1:25" ht="15">
      <c r="A21" s="9" t="s">
        <v>178</v>
      </c>
      <c r="C21" s="419" t="s">
        <v>353</v>
      </c>
      <c r="D21" s="419"/>
      <c r="F21" s="175" t="str">
        <f>_xlfn.IFS(Alimentacion="Vapor sobrecalentado","T.entrada (K)",Alimentacion="Vapor Saturado"," ",Alimentacion="Líquido + Vapor","% de Vapor",Alimentacion="Líquido Saturado"," ",Alimentacion="Líq. Subenfriado T.entrada","T.entrada (K)",Alimentacion="Líq. subenfriado Moles condensados","No. Moles")</f>
        <v>% de Vapor</v>
      </c>
      <c r="G21" s="176">
        <v>30</v>
      </c>
      <c r="H21" s="88" t="str">
        <f>_xlfn.IFS(Alimentacion="Vapor sobrecalentado","Ingrese la T a la que entra la alimentación",Alimentacion="Vapor Saturado","",Alimentacion="Líquido + Vapor","Ingrese el % de vapor en la alimentación",Alimentacion="Líquido Saturado","",Alimentacion="Líq. Subenfriado T.entrada","Ingrese la T a la que entra la alimentación",Alimentacion="Líq. subenfriado Moles condensados","Moles de alimentación que condensan 1 mol de vapor")</f>
        <v>Ingrese el % de vapor en la alimentación</v>
      </c>
      <c r="N21" s="146"/>
      <c r="O21" s="148"/>
      <c r="P21" s="148"/>
      <c r="Q21" s="148"/>
      <c r="R21" s="148"/>
      <c r="S21" s="373">
        <f ca="1">'Líneas de Tendencia'!A23</f>
        <v>0.59740000000000004</v>
      </c>
      <c r="T21" s="373">
        <f ca="1">'Líneas de Tendencia'!B23</f>
        <v>0.78800000000000003</v>
      </c>
      <c r="U21" s="373">
        <f ca="1">'Líneas de Tendencia'!C23</f>
        <v>53.8</v>
      </c>
      <c r="V21" s="153">
        <v>351.76305712067415</v>
      </c>
      <c r="W21" s="153">
        <f t="shared" ca="1" si="0"/>
        <v>0.59740000000000004</v>
      </c>
      <c r="X21" s="148"/>
      <c r="Y21" s="149"/>
    </row>
    <row r="22" spans="1:25">
      <c r="B22" s="35"/>
      <c r="C22" s="35"/>
      <c r="D22" s="35"/>
      <c r="E22" s="35"/>
      <c r="F22" s="35"/>
      <c r="N22" s="146"/>
      <c r="O22" s="148"/>
      <c r="P22" s="148"/>
      <c r="Q22" s="148"/>
      <c r="R22" s="148"/>
      <c r="S22" s="373">
        <f ca="1">'Líneas de Tendencia'!A24</f>
        <v>0.66300000000000003</v>
      </c>
      <c r="T22" s="373">
        <f ca="1">'Líneas de Tendencia'!B24</f>
        <v>0.82899999999999996</v>
      </c>
      <c r="U22" s="373">
        <f ca="1">'Líneas de Tendencia'!C24</f>
        <v>52.3</v>
      </c>
      <c r="V22" s="153">
        <v>351.52442594184811</v>
      </c>
      <c r="W22" s="153">
        <f t="shared" ca="1" si="0"/>
        <v>0.66300000000000003</v>
      </c>
      <c r="X22" s="148"/>
      <c r="Y22" s="149"/>
    </row>
    <row r="23" spans="1:25" ht="15">
      <c r="A23" s="9" t="s">
        <v>179</v>
      </c>
      <c r="D23" s="173" t="s">
        <v>180</v>
      </c>
      <c r="E23" s="35"/>
      <c r="F23" s="175" t="str">
        <f>IF(D23="Personalizado","T (K)","")</f>
        <v/>
      </c>
      <c r="G23" s="176"/>
      <c r="H23" s="88" t="str">
        <f>IF(D23="Personalizado","Ingrese la T de referencia","")</f>
        <v/>
      </c>
      <c r="N23" s="146"/>
      <c r="O23" s="148"/>
      <c r="P23" s="148"/>
      <c r="Q23" s="148"/>
      <c r="R23" s="148"/>
      <c r="S23" s="373">
        <f ca="1">'Líneas de Tendencia'!A25</f>
        <v>0.71020000000000005</v>
      </c>
      <c r="T23" s="373">
        <f ca="1">'Líneas de Tendencia'!B25</f>
        <v>0.85350000000000004</v>
      </c>
      <c r="U23" s="373">
        <f ca="1">'Líneas de Tendencia'!C25</f>
        <v>51.35</v>
      </c>
      <c r="V23" s="153">
        <v>351.32779339451878</v>
      </c>
      <c r="W23" s="153">
        <f t="shared" ca="1" si="0"/>
        <v>0.71020000000000005</v>
      </c>
      <c r="X23" s="148"/>
      <c r="Y23" s="149"/>
    </row>
    <row r="24" spans="1:25">
      <c r="B24" s="35"/>
      <c r="C24" s="35"/>
      <c r="D24" s="35"/>
      <c r="E24" s="35"/>
      <c r="F24" s="35"/>
      <c r="N24" s="146"/>
      <c r="O24" s="148"/>
      <c r="P24" s="148"/>
      <c r="Q24" s="148"/>
      <c r="R24" s="148"/>
      <c r="S24" s="373">
        <f ca="1">'Líneas de Tendencia'!A26</f>
        <v>0.75739999999999996</v>
      </c>
      <c r="T24" s="373">
        <f ca="1">'Líneas de Tendencia'!B26</f>
        <v>0.878</v>
      </c>
      <c r="U24" s="373">
        <f ca="1">'Líneas de Tendencia'!C26</f>
        <v>50.4</v>
      </c>
      <c r="V24" s="153">
        <v>351.17813601910871</v>
      </c>
      <c r="W24" s="153">
        <f t="shared" ca="1" si="0"/>
        <v>0.75739999999999996</v>
      </c>
      <c r="X24" s="148"/>
      <c r="Y24" s="149"/>
    </row>
    <row r="25" spans="1:25" ht="15.75">
      <c r="A25" s="35"/>
      <c r="B25" s="177"/>
      <c r="C25" s="177"/>
      <c r="D25" s="177"/>
      <c r="E25" s="177"/>
      <c r="F25" s="177"/>
      <c r="G25" s="177"/>
      <c r="H25" s="178" t="s">
        <v>181</v>
      </c>
      <c r="I25" s="179"/>
      <c r="J25" s="180"/>
      <c r="K25" s="177"/>
      <c r="L25" s="177"/>
      <c r="N25" s="146"/>
      <c r="O25" s="181"/>
      <c r="P25" s="148"/>
      <c r="Q25" s="148"/>
      <c r="R25" s="148"/>
      <c r="S25" s="373">
        <f ca="1">'Líneas de Tendencia'!A27</f>
        <v>0.80889999999999995</v>
      </c>
      <c r="T25" s="373">
        <f ca="1">'Líneas de Tendencia'!B27</f>
        <v>0.90500000000000003</v>
      </c>
      <c r="U25" s="373">
        <f ca="1">'Líneas de Tendencia'!C27</f>
        <v>49.36</v>
      </c>
      <c r="V25" s="153">
        <v>351.08077708439868</v>
      </c>
      <c r="W25" s="153">
        <f t="shared" ca="1" si="0"/>
        <v>0.80889999999999995</v>
      </c>
      <c r="X25" s="148"/>
      <c r="Y25" s="149"/>
    </row>
    <row r="26" spans="1:25">
      <c r="A26" s="35"/>
      <c r="F26" t="s">
        <v>177</v>
      </c>
      <c r="H26" s="89"/>
      <c r="I26" s="89"/>
      <c r="J26" s="182"/>
      <c r="N26" s="146"/>
      <c r="O26" s="181" t="s">
        <v>182</v>
      </c>
      <c r="P26" s="148"/>
      <c r="Q26" s="148"/>
      <c r="R26" s="148"/>
      <c r="S26" s="373">
        <f ca="1">'Líneas de Tendencia'!A28</f>
        <v>0.86040000000000005</v>
      </c>
      <c r="T26" s="373">
        <f ca="1">'Líneas de Tendencia'!B28</f>
        <v>0.93200000000000005</v>
      </c>
      <c r="U26" s="373">
        <f ca="1">'Líneas de Tendencia'!C28</f>
        <v>48.5</v>
      </c>
      <c r="V26" s="153">
        <v>351.04140079996898</v>
      </c>
      <c r="W26" s="153">
        <f t="shared" ca="1" si="0"/>
        <v>0.86040000000000005</v>
      </c>
      <c r="X26" s="148"/>
      <c r="Y26" s="149"/>
    </row>
    <row r="27" spans="1:25">
      <c r="H27" s="183" t="s">
        <v>183</v>
      </c>
      <c r="I27" s="89"/>
      <c r="J27" s="182"/>
      <c r="N27" s="146"/>
      <c r="O27" s="184" t="str">
        <f>IF(SISTEMA="Usuario: Datos ingresados ",User.Comp1,VLOOKUP(SISTEMA,Datos.sistemas,2))</f>
        <v>Disulfuro de carbono</v>
      </c>
      <c r="P27" s="185">
        <f>IF(SISTEMA="Usuario: Datos ingresados ",User.M1,VLOOKUP(O27,Datos.sistemas.2,3))</f>
        <v>76.135000000000005</v>
      </c>
      <c r="Q27" s="148"/>
      <c r="R27" s="148"/>
      <c r="S27" s="373">
        <f ca="1">'Líneas de Tendencia'!A29</f>
        <v>0.93020000000000003</v>
      </c>
      <c r="T27" s="373">
        <f ca="1">'Líneas de Tendencia'!B29</f>
        <v>0.96599999999999997</v>
      </c>
      <c r="U27" s="373">
        <f ca="1">'Líneas de Tendencia'!C29</f>
        <v>47.4</v>
      </c>
      <c r="V27" s="153">
        <v>351.06612864141289</v>
      </c>
      <c r="W27" s="153">
        <f t="shared" ca="1" si="0"/>
        <v>0.93020000000000003</v>
      </c>
      <c r="X27" s="148"/>
      <c r="Y27" s="149"/>
    </row>
    <row r="28" spans="1:25">
      <c r="H28" s="186" t="s">
        <v>169</v>
      </c>
      <c r="I28" s="187">
        <f>IF(D11="% mol",zF.user/100,((zF.user/100)/M.1)/((zF.user/100)/M.1+(1-(zF.user/100))/M.2))</f>
        <v>0.66891348307277509</v>
      </c>
      <c r="J28" s="188" t="s">
        <v>184</v>
      </c>
      <c r="N28" s="146"/>
      <c r="O28" s="184" t="str">
        <f>IF(SISTEMA="Usuario: Datos ingresados ",User.Comp2,VLOOKUP(SISTEMA,Datos.sistemas,3))</f>
        <v>Tetracloruro de carbono</v>
      </c>
      <c r="P28" s="185">
        <f>IF(SISTEMA="Usuario: Datos ingresados ",User.M2,VLOOKUP(O28,Datos.sistemas.2,3))</f>
        <v>153.82</v>
      </c>
      <c r="Q28" s="148"/>
      <c r="R28" s="148"/>
      <c r="S28" s="373">
        <f ca="1">'Líneas de Tendencia'!A30</f>
        <v>1</v>
      </c>
      <c r="T28" s="373">
        <f ca="1">'Líneas de Tendencia'!B30</f>
        <v>1</v>
      </c>
      <c r="U28" s="373">
        <f ca="1">'Líneas de Tendencia'!C30</f>
        <v>46.3</v>
      </c>
      <c r="V28" s="153">
        <v>351.16166851936566</v>
      </c>
      <c r="W28" s="153">
        <f t="shared" ca="1" si="0"/>
        <v>1</v>
      </c>
      <c r="X28" s="148"/>
      <c r="Y28" s="149"/>
    </row>
    <row r="29" spans="1:25">
      <c r="G29" s="189"/>
      <c r="H29" s="186" t="s">
        <v>185</v>
      </c>
      <c r="I29" s="190">
        <f ca="1">m10T*zF^10+m9T*zF^9+m8T*zF^8+m7T*zF^7+m6T*zF^6+m5T*zF^5+m4T*zF^4+m3T*zF^3+m2T*zF^2+m1T*zF+mbT</f>
        <v>325.34902910345397</v>
      </c>
      <c r="J29" s="188" t="s">
        <v>186</v>
      </c>
      <c r="N29" s="146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9"/>
    </row>
    <row r="30" spans="1:25">
      <c r="H30" s="191" t="s">
        <v>187</v>
      </c>
      <c r="I30" s="190">
        <f ca="1">zF*CLat.F1+(1-zF)*CLat.F2</f>
        <v>28209.070568225474</v>
      </c>
      <c r="J30" s="188" t="s">
        <v>190</v>
      </c>
      <c r="N30" s="146"/>
      <c r="O30" s="192"/>
      <c r="P30" s="192"/>
      <c r="Q30" s="192"/>
      <c r="R30" s="192"/>
      <c r="S30" s="192"/>
      <c r="T30" s="192"/>
      <c r="U30" s="192"/>
      <c r="V30" s="192"/>
      <c r="W30" s="192"/>
      <c r="X30" s="148"/>
      <c r="Y30" s="149"/>
    </row>
    <row r="31" spans="1:25">
      <c r="H31" s="186" t="s">
        <v>191</v>
      </c>
      <c r="I31" s="190">
        <f ca="1">zF*CpL.1+(1-zF)*CpL.2</f>
        <v>95.863935845631175</v>
      </c>
      <c r="J31" s="188" t="s">
        <v>192</v>
      </c>
      <c r="N31" s="146"/>
      <c r="O31" s="192"/>
      <c r="P31" s="192"/>
      <c r="Q31" s="192"/>
      <c r="R31" s="192"/>
      <c r="S31" s="192"/>
      <c r="T31" s="192"/>
      <c r="U31" s="193" t="s">
        <v>193</v>
      </c>
      <c r="V31" s="195">
        <f ca="1">IF(D23="Tsat D",Tsat.D,IF(D23="Tsat W ",Tsat.W,IF(D23="Personalizado",IF(ISBLANK(G23),#N/A,G23))))</f>
        <v>319.88540083045507</v>
      </c>
      <c r="W31" s="192"/>
      <c r="X31" s="148"/>
      <c r="Y31" s="149"/>
    </row>
    <row r="32" spans="1:25">
      <c r="H32" s="191" t="s">
        <v>194</v>
      </c>
      <c r="I32" s="190">
        <f ca="1">I31*(Tsat.F-T.ref)</f>
        <v>523.76491024714358</v>
      </c>
      <c r="J32" s="188" t="s">
        <v>190</v>
      </c>
      <c r="N32" s="146"/>
      <c r="O32" s="196" t="s">
        <v>195</v>
      </c>
      <c r="P32" s="199"/>
      <c r="Q32" s="199"/>
      <c r="R32" s="199"/>
      <c r="S32" s="199"/>
      <c r="T32" s="199"/>
      <c r="U32" s="192"/>
      <c r="V32" s="192"/>
      <c r="W32" s="148"/>
      <c r="X32" s="181"/>
      <c r="Y32" s="149"/>
    </row>
    <row r="33" spans="7:25">
      <c r="H33" s="191" t="s">
        <v>196</v>
      </c>
      <c r="I33" s="190">
        <f ca="1">IF(Alimentacion="Vapor sobrecalentado",I31*(G21-T.ref)+I30,IF(Alimentacion="Vapor Saturado",HfG,IF(Alimentacion="Líquido + Vapor",(G21/100)*HfG+((100-G21)/100)*HfL,IF(Alimentacion="Líquido Saturado",HfL,IF(Alimentacion="Líq. Subenfriado T.entrada",I31*(G21-T.ref),IF(Alimentacion="Líq. subenfriado Moles condensados",HfL-(I30/G21)))))))</f>
        <v>8986.486080714787</v>
      </c>
      <c r="J33" s="188" t="s">
        <v>190</v>
      </c>
      <c r="N33" s="146"/>
      <c r="O33" s="193"/>
      <c r="P33" s="193"/>
      <c r="Q33" s="193" t="s">
        <v>73</v>
      </c>
      <c r="R33" s="193" t="s">
        <v>74</v>
      </c>
      <c r="S33" s="193" t="s">
        <v>75</v>
      </c>
      <c r="T33" s="193" t="s">
        <v>104</v>
      </c>
      <c r="U33" s="193" t="s">
        <v>105</v>
      </c>
      <c r="V33" s="200" t="s">
        <v>197</v>
      </c>
      <c r="W33" s="200" t="s">
        <v>198</v>
      </c>
      <c r="X33" s="148"/>
      <c r="Y33" s="149"/>
    </row>
    <row r="34" spans="7:25">
      <c r="H34" s="191" t="s">
        <v>199</v>
      </c>
      <c r="I34" s="190">
        <f ca="1">I32+I30</f>
        <v>28732.835478472618</v>
      </c>
      <c r="J34" s="188" t="s">
        <v>190</v>
      </c>
      <c r="N34" s="146"/>
      <c r="O34" s="201" t="str">
        <f t="shared" ref="O34:O35" si="1">O27</f>
        <v>Disulfuro de carbono</v>
      </c>
      <c r="P34" s="202" t="s">
        <v>139</v>
      </c>
      <c r="Q34" s="203">
        <f>IF(SISTEMA="Usuario: Datos ingresados ",U1C1,VLOOKUP(O34,Datos.sistemas.2,4))</f>
        <v>85600</v>
      </c>
      <c r="R34" s="204">
        <f>IF(SISTEMA="Usuario: Datos ingresados ",U1C2,VLOOKUP(O34,Datos.sistemas.2,5))</f>
        <v>-122</v>
      </c>
      <c r="S34" s="204">
        <f>IF(SISTEMA="Usuario: Datos ingresados ",U1C3,VLOOKUP(O34,Datos.sistemas.2,6))</f>
        <v>0.5605</v>
      </c>
      <c r="T34" s="205">
        <f>IF(SISTEMA="Usuario: Datos ingresados ",U1C4,VLOOKUP(O34,Datos.sistemas.2,7))</f>
        <v>-1.4519999999999999E-3</v>
      </c>
      <c r="U34" s="205">
        <f>IF(SISTEMA="Usuario: Datos ingresados ",U1C5,VLOOKUP(O34,Datos.sistemas.2,8))</f>
        <v>2.0080000000000001E-6</v>
      </c>
      <c r="V34" s="203">
        <f ca="1">IF(ISBLANK(T.ref),,cpC1.1+cpC1.2*T.ref+cpC1.3*T.ref^2+cpC1.4*T.ref^3+cpC1.5*T.ref^4)</f>
        <v>77425.30323313929</v>
      </c>
      <c r="W34" s="206">
        <f t="shared" ref="W34:W35" ca="1" si="2">V34/1000</f>
        <v>77.425303233139289</v>
      </c>
      <c r="X34" s="148"/>
      <c r="Y34" s="149"/>
    </row>
    <row r="35" spans="7:25">
      <c r="H35" s="89"/>
      <c r="I35" s="207"/>
      <c r="J35" s="208"/>
      <c r="N35" s="146"/>
      <c r="O35" s="201" t="str">
        <f t="shared" si="1"/>
        <v>Tetracloruro de carbono</v>
      </c>
      <c r="P35" s="202" t="s">
        <v>139</v>
      </c>
      <c r="Q35" s="203">
        <f>IF(SISTEMA="Usuario: Datos ingresados ",U2C1,VLOOKUP(O35,Datos.sistemas.2,4))</f>
        <v>-752700</v>
      </c>
      <c r="R35" s="204">
        <f>IF(SISTEMA="Usuario: Datos ingresados ",U2C2,VLOOKUP(O35,Datos.sistemas.2,5))</f>
        <v>8966.1</v>
      </c>
      <c r="S35" s="204">
        <f>IF(SISTEMA="Usuario: Datos ingresados ",U2C3,VLOOKUP(O35,Datos.sistemas.2,6))</f>
        <v>-30.393999999999998</v>
      </c>
      <c r="T35" s="205">
        <f>IF(SISTEMA="Usuario: Datos ingresados ",U2C4,VLOOKUP(O35,Datos.sistemas.2,7))</f>
        <v>3.4455E-2</v>
      </c>
      <c r="U35" s="209">
        <f>IF(SISTEMA="Usuario: Datos ingresados ",U2C5,VLOOKUP(O35,Datos.sistemas.2,8))</f>
        <v>0</v>
      </c>
      <c r="V35" s="203">
        <f ca="1">IF(ISBLANK(T.ref),,cpC2.1+cpC2.2*T.ref+cpC2.3*T.ref^2+cpC2.4*T.ref^3+cpC2.5*T.ref^4)</f>
        <v>133116.58532948885</v>
      </c>
      <c r="W35" s="210">
        <f t="shared" ca="1" si="2"/>
        <v>133.11658532948886</v>
      </c>
      <c r="X35" s="148"/>
      <c r="Y35" s="149"/>
    </row>
    <row r="36" spans="7:25">
      <c r="H36" s="89"/>
      <c r="I36" s="207"/>
      <c r="J36" s="208"/>
      <c r="N36" s="146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9"/>
    </row>
    <row r="37" spans="7:25">
      <c r="H37" s="183" t="s">
        <v>200</v>
      </c>
      <c r="I37" s="207"/>
      <c r="J37" s="208"/>
      <c r="N37" s="146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9"/>
    </row>
    <row r="38" spans="7:25">
      <c r="H38" s="211" t="s">
        <v>201</v>
      </c>
      <c r="I38" s="212">
        <f>IF(D15="% mol",xW.user/100,((xW.user/100)/M.1)/((xW.user/100)/M.1+(1-(xW.user/100))/M.2))</f>
        <v>1.0050517210906332E-2</v>
      </c>
      <c r="J38" s="213" t="s">
        <v>184</v>
      </c>
      <c r="N38" s="146"/>
      <c r="O38" s="196" t="s">
        <v>202</v>
      </c>
      <c r="P38" s="199"/>
      <c r="Q38" s="199"/>
      <c r="R38" s="199"/>
      <c r="S38" s="199"/>
      <c r="T38" s="199"/>
      <c r="U38" s="199"/>
      <c r="V38" s="148"/>
      <c r="W38" s="148"/>
      <c r="X38" s="148"/>
      <c r="Y38" s="149"/>
    </row>
    <row r="39" spans="7:25">
      <c r="G39" s="214" t="str">
        <f>IF(D23="Tsat W","T.ref→","")</f>
        <v/>
      </c>
      <c r="H39" s="215" t="s">
        <v>203</v>
      </c>
      <c r="I39" s="216">
        <f ca="1">m10T*xW^10+m9T*xW^9+m8T*xW^8+m7T*xW^7+m6T*xW^6+m5T*xW^5+m4T*xW^4+m3T*xW^3+m2T*xW^2+m1T*xW+mbT</f>
        <v>349.24758541791368</v>
      </c>
      <c r="J39" s="213" t="s">
        <v>186</v>
      </c>
      <c r="N39" s="146"/>
      <c r="O39" s="193"/>
      <c r="P39" s="193"/>
      <c r="Q39" s="217" t="s">
        <v>73</v>
      </c>
      <c r="R39" s="193" t="s">
        <v>74</v>
      </c>
      <c r="S39" s="193" t="s">
        <v>75</v>
      </c>
      <c r="T39" s="193" t="s">
        <v>104</v>
      </c>
      <c r="U39" s="193" t="s">
        <v>204</v>
      </c>
      <c r="V39" s="114" t="s">
        <v>205</v>
      </c>
      <c r="W39" s="114" t="s">
        <v>206</v>
      </c>
      <c r="X39" s="114" t="s">
        <v>207</v>
      </c>
      <c r="Y39" s="149"/>
    </row>
    <row r="40" spans="7:25">
      <c r="H40" s="215" t="s">
        <v>208</v>
      </c>
      <c r="I40" s="216">
        <f ca="1">xW*CpL.1+(1-xW)*CpL.2</f>
        <v>132.55685914028206</v>
      </c>
      <c r="J40" s="213" t="s">
        <v>192</v>
      </c>
      <c r="N40" s="146"/>
      <c r="O40" s="201" t="str">
        <f t="shared" ref="O40:O41" si="3">O27</f>
        <v>Disulfuro de carbono</v>
      </c>
      <c r="P40" s="218" t="s">
        <v>143</v>
      </c>
      <c r="Q40" s="203">
        <f>IF(SISTEMA="Usuario: Datos ingresados ",U1L1,VLOOKUP(O40,Datos.sistemas.2,9))</f>
        <v>34960000</v>
      </c>
      <c r="R40" s="205">
        <f>IF(SISTEMA="Usuario: Datos ingresados ",U1L2,VLOOKUP(O40,Datos.sistemas.2,10))</f>
        <v>0.29859999999999998</v>
      </c>
      <c r="S40" s="205">
        <f>IF(SISTEMA="Usuario: Datos ingresados ",U1L3,VLOOKUP(O40,Datos.sistemas.2,11))</f>
        <v>0</v>
      </c>
      <c r="T40" s="205">
        <f>IF(SISTEMA="Usuario: Datos ingresados ",U1L4,VLOOKUP(O40,Datos.sistemas.2,12))</f>
        <v>0</v>
      </c>
      <c r="U40" s="219">
        <f>IF(SISTEMA="Usuario: Datos ingresados ",U1.LTc,VLOOKUP(O40,Datos.sistemas.2,13))</f>
        <v>552</v>
      </c>
      <c r="V40" s="220">
        <f ca="1">Tsat.F/Tc.1</f>
        <v>0.58940041504248908</v>
      </c>
      <c r="W40" s="203">
        <f ca="1">Q40*(1-Tr.1)^(R40+S40*Tr.1+T40*Tr.1^2)</f>
        <v>26800209.555503409</v>
      </c>
      <c r="X40" s="221">
        <f t="shared" ref="X40:X41" ca="1" si="4">W40/1000</f>
        <v>26800.20955550341</v>
      </c>
      <c r="Y40" s="149"/>
    </row>
    <row r="41" spans="7:25">
      <c r="H41" s="211" t="s">
        <v>209</v>
      </c>
      <c r="I41" s="216">
        <f ca="1">I40*(Tsat.W-T.ref)</f>
        <v>3892.1589664107123</v>
      </c>
      <c r="J41" s="213" t="s">
        <v>190</v>
      </c>
      <c r="N41" s="146"/>
      <c r="O41" s="201" t="str">
        <f t="shared" si="3"/>
        <v>Tetracloruro de carbono</v>
      </c>
      <c r="P41" s="218" t="s">
        <v>143</v>
      </c>
      <c r="Q41" s="203">
        <f>IF(SISTEMA="Usuario: Datos ingresados ",U2L1,VLOOKUP(O41,Datos.sistemas.2,9))</f>
        <v>43252000</v>
      </c>
      <c r="R41" s="205">
        <f>IF(SISTEMA="Usuario: Datos ingresados ",U2L2,VLOOKUP(O41,Datos.sistemas.2,10))</f>
        <v>0.37687999999999999</v>
      </c>
      <c r="S41" s="222">
        <f>IF(SISTEMA="Usuario: Datos ingresados ",U2L3,VLOOKUP(O41,Datos.sistemas.2,11))</f>
        <v>0</v>
      </c>
      <c r="T41" s="222">
        <f>IF(SISTEMA="Usuario: Datos ingresados ",U2L4,VLOOKUP(O41,Datos.sistemas.2,12))</f>
        <v>0</v>
      </c>
      <c r="U41" s="219">
        <f>IF(SISTEMA="Usuario: Datos ingresados ",U2.LTc,VLOOKUP(O41,Datos.sistemas.2,13))</f>
        <v>556.35</v>
      </c>
      <c r="V41" s="220">
        <f ca="1">Tsat.F/Tc.2</f>
        <v>0.58479199982646524</v>
      </c>
      <c r="W41" s="203">
        <f ca="1">Q41*(1-Tr.2)^(R41+S41*Tr.2+T41*Tr.2^2)</f>
        <v>31055474.994270101</v>
      </c>
      <c r="X41" s="221">
        <f t="shared" ca="1" si="4"/>
        <v>31055.474994270102</v>
      </c>
      <c r="Y41" s="149"/>
    </row>
    <row r="42" spans="7:25">
      <c r="H42" s="89"/>
      <c r="I42" s="207"/>
      <c r="J42" s="208"/>
      <c r="N42" s="146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9"/>
    </row>
    <row r="43" spans="7:25">
      <c r="H43" s="89"/>
      <c r="I43" s="207"/>
      <c r="J43" s="208"/>
      <c r="N43" s="146"/>
      <c r="O43" s="148"/>
      <c r="P43" s="148"/>
      <c r="Q43" s="148"/>
      <c r="R43" s="148"/>
      <c r="S43" s="148"/>
      <c r="T43" s="148"/>
      <c r="U43" s="148"/>
      <c r="V43" s="223" t="s">
        <v>210</v>
      </c>
      <c r="W43" s="223" t="s">
        <v>206</v>
      </c>
      <c r="X43" s="223" t="s">
        <v>207</v>
      </c>
      <c r="Y43" s="149"/>
    </row>
    <row r="44" spans="7:25">
      <c r="H44" s="183" t="s">
        <v>211</v>
      </c>
      <c r="I44" s="207"/>
      <c r="J44" s="208"/>
      <c r="N44" s="146"/>
      <c r="O44" s="148"/>
      <c r="P44" s="148"/>
      <c r="Q44" s="148"/>
      <c r="R44" s="148"/>
      <c r="S44" s="148"/>
      <c r="T44" s="148"/>
      <c r="U44" s="148"/>
      <c r="V44" s="220">
        <f ca="1">Tsat.G1/Tc.1</f>
        <v>0.57950253773633165</v>
      </c>
      <c r="W44" s="203">
        <f t="shared" ref="W44:W45" ca="1" si="5">Q40*(1-V44)^(R40+S40*V44+T40*V44^2)</f>
        <v>26991509.240305517</v>
      </c>
      <c r="X44" s="221">
        <f t="shared" ref="X44:X45" ca="1" si="6">W44/1000</f>
        <v>26991.509240305517</v>
      </c>
      <c r="Y44" s="149"/>
    </row>
    <row r="45" spans="7:25">
      <c r="H45" s="224" t="s">
        <v>171</v>
      </c>
      <c r="I45" s="225">
        <f>IF(D13="% mol",xD.user/100,((xD.user/100)/M.1)/((xD.user/100)/M.1+(1-(xD.user/100))/M.2))</f>
        <v>0.9746107916224116</v>
      </c>
      <c r="J45" s="226" t="s">
        <v>184</v>
      </c>
      <c r="N45" s="227"/>
      <c r="O45" s="228"/>
      <c r="P45" s="228"/>
      <c r="Q45" s="228"/>
      <c r="R45" s="228"/>
      <c r="S45" s="228"/>
      <c r="T45" s="228"/>
      <c r="U45" s="228"/>
      <c r="V45" s="220">
        <f ca="1">Tsat.G1/Tc.2</f>
        <v>0.5749715122323269</v>
      </c>
      <c r="W45" s="203">
        <f t="shared" ca="1" si="5"/>
        <v>31330287.861239642</v>
      </c>
      <c r="X45" s="221">
        <f t="shared" ca="1" si="6"/>
        <v>31330.287861239642</v>
      </c>
      <c r="Y45" s="229"/>
    </row>
    <row r="46" spans="7:25">
      <c r="G46" s="230" t="str">
        <f>IF(D23="Tsat D","T.ref→","")</f>
        <v>T.ref→</v>
      </c>
      <c r="H46" s="231" t="s">
        <v>180</v>
      </c>
      <c r="I46" s="232">
        <f ca="1">m10T*xD^10+m9T*xD^9+m8T*xD^8+m7T*xD^7+m6T*xD^6+m5T*xD^5+m4T*xD^4+m3T*xD^3+m2T*xD^2+m1T*xD+mbT</f>
        <v>319.88540083045507</v>
      </c>
      <c r="J46" s="226" t="s">
        <v>186</v>
      </c>
      <c r="N46" s="227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9"/>
    </row>
    <row r="47" spans="7:25">
      <c r="H47" s="231" t="s">
        <v>225</v>
      </c>
      <c r="I47" s="232">
        <f ca="1">xD*CpL.1+(1-xD)*CpL.2</f>
        <v>78.839260799098568</v>
      </c>
      <c r="J47" s="226" t="s">
        <v>192</v>
      </c>
      <c r="N47" s="227"/>
      <c r="O47" s="228"/>
      <c r="P47" s="228"/>
      <c r="Q47" s="228"/>
      <c r="R47" s="228"/>
      <c r="S47" s="228"/>
      <c r="T47" s="228"/>
      <c r="U47" s="228"/>
      <c r="V47" s="234" t="s">
        <v>226</v>
      </c>
      <c r="W47" s="234" t="s">
        <v>206</v>
      </c>
      <c r="X47" s="234" t="s">
        <v>207</v>
      </c>
      <c r="Y47" s="229"/>
    </row>
    <row r="48" spans="7:25">
      <c r="H48" s="231" t="s">
        <v>227</v>
      </c>
      <c r="I48" s="232">
        <f ca="1">I47*(Tsat.D-T.ref)</f>
        <v>0</v>
      </c>
      <c r="J48" s="226" t="s">
        <v>190</v>
      </c>
      <c r="N48" s="227"/>
      <c r="O48" s="228"/>
      <c r="P48" s="228"/>
      <c r="Q48" s="228"/>
      <c r="R48" s="228"/>
      <c r="S48" s="228"/>
      <c r="T48" s="228"/>
      <c r="U48" s="228"/>
      <c r="V48" s="237" t="s">
        <v>228</v>
      </c>
      <c r="W48" s="238" t="s">
        <v>228</v>
      </c>
      <c r="X48" s="239" t="s">
        <v>228</v>
      </c>
      <c r="Y48" s="229"/>
    </row>
    <row r="49" spans="2:25">
      <c r="H49" s="182"/>
      <c r="I49" s="207"/>
      <c r="J49" s="182"/>
      <c r="N49" s="227"/>
      <c r="O49" s="228"/>
      <c r="P49" s="228"/>
      <c r="Q49" s="228"/>
      <c r="R49" s="228"/>
      <c r="S49" s="228"/>
      <c r="T49" s="228"/>
      <c r="U49" s="228"/>
      <c r="V49" s="220" t="str">
        <f>IF(TipoDest="Vapor vivo",IF(O35="Agua",Tsat.G/Tc.2,"-"),"-")</f>
        <v>-</v>
      </c>
      <c r="W49" s="203" t="str">
        <f>IF(TipoDest="Vapor vivo",IF(O35="Agua",Q41*(1-V49)^(R41+S41*V49+T41*V49^2),"-"),"-")</f>
        <v>-</v>
      </c>
      <c r="X49" s="221" t="str">
        <f>IF(TipoDest="Vapor vivo",IF(O35="Agua",W49/1000,"-"),"-")</f>
        <v>-</v>
      </c>
      <c r="Y49" s="229"/>
    </row>
    <row r="50" spans="2:25">
      <c r="I50" s="240"/>
      <c r="N50" s="227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9"/>
    </row>
    <row r="51" spans="2:25">
      <c r="H51" s="183" t="s">
        <v>256</v>
      </c>
      <c r="I51" s="207"/>
      <c r="J51" s="208"/>
      <c r="N51" s="241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3"/>
    </row>
    <row r="52" spans="2:25">
      <c r="H52" s="244" t="s">
        <v>257</v>
      </c>
      <c r="I52" s="245">
        <f t="shared" ref="I52:I53" si="7">I45</f>
        <v>0.9746107916224116</v>
      </c>
      <c r="J52" s="246" t="s">
        <v>184</v>
      </c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</row>
    <row r="53" spans="2:25">
      <c r="H53" s="244" t="s">
        <v>258</v>
      </c>
      <c r="I53" s="247">
        <f t="shared" ca="1" si="7"/>
        <v>319.88540083045507</v>
      </c>
      <c r="J53" s="246" t="s">
        <v>186</v>
      </c>
    </row>
    <row r="54" spans="2:25">
      <c r="H54" s="244" t="s">
        <v>259</v>
      </c>
      <c r="I54" s="247">
        <f ca="1">y.G1*CpL.1+(1-y.G1)*CpL.2</f>
        <v>78.839260799098568</v>
      </c>
      <c r="J54" s="246" t="s">
        <v>192</v>
      </c>
    </row>
    <row r="55" spans="2:25">
      <c r="H55" s="244" t="s">
        <v>187</v>
      </c>
      <c r="I55" s="247">
        <f ca="1">y.G1*CLat.G1.1+(1-y.G1)*CLat.G1.2</f>
        <v>27101.667394816639</v>
      </c>
      <c r="J55" s="246" t="s">
        <v>190</v>
      </c>
    </row>
    <row r="56" spans="2:25">
      <c r="H56" s="244" t="s">
        <v>260</v>
      </c>
      <c r="I56" s="247">
        <f ca="1">I54*(Tsat.G1-T.ref)+I55</f>
        <v>27101.667394816639</v>
      </c>
      <c r="J56" s="246" t="s">
        <v>190</v>
      </c>
    </row>
    <row r="57" spans="2:25">
      <c r="I57" s="240"/>
      <c r="J57" s="157"/>
      <c r="K57" s="157"/>
      <c r="L57" s="157"/>
    </row>
    <row r="58" spans="2:25">
      <c r="H58" s="183" t="str">
        <f>IF(TipoDest="Vapor vivo","Vapor","")</f>
        <v/>
      </c>
      <c r="I58" s="240"/>
      <c r="J58" s="157"/>
      <c r="K58" s="157"/>
      <c r="L58" s="157"/>
    </row>
    <row r="59" spans="2:25">
      <c r="H59" s="35" t="str">
        <f>IF(TipoDest="Vapor vivo","yG","")</f>
        <v/>
      </c>
      <c r="I59" s="249" t="str">
        <f>IF(TipoDest="Vapor vivo",0,"")</f>
        <v/>
      </c>
      <c r="J59" s="250" t="str">
        <f>IF(TipoDest="Vapor vivo","mol soluto/mol solución","")</f>
        <v/>
      </c>
      <c r="K59" s="157"/>
      <c r="L59" s="157"/>
    </row>
    <row r="60" spans="2:25">
      <c r="H60" s="251" t="str">
        <f>IF(TipoDest="Vapor vivo","Tsat G","")</f>
        <v/>
      </c>
      <c r="I60" s="252" t="str">
        <f>IF(TipoDest="Vapor vivo",CONVERT((AntoineAguaB/(AntoineAguaA-LOG10(CONVERT(presion,"atm","Torr"))))-AntoineAguaC,"C","K"),"")</f>
        <v/>
      </c>
      <c r="J60" s="250" t="str">
        <f>IF(TipoDest="Vapor vivo","K","")</f>
        <v/>
      </c>
      <c r="K60" s="157"/>
      <c r="L60" s="157"/>
    </row>
    <row r="61" spans="2:25">
      <c r="H61" s="35" t="str">
        <f>IF(TipoDest="Vapor vivo","Cp, G","")</f>
        <v/>
      </c>
      <c r="I61" s="253" t="str">
        <f>IF(TipoDest="Vapor vivo",CpL.2," ")</f>
        <v xml:space="preserve"> </v>
      </c>
      <c r="J61" s="250" t="str">
        <f>IF(TipoDest="Vapor vivo","J/mol K","")</f>
        <v/>
      </c>
      <c r="K61" s="157"/>
      <c r="L61" s="157"/>
    </row>
    <row r="62" spans="2:25">
      <c r="H62" s="35" t="str">
        <f>IF(TipoDest="Vapor vivo","λ vapor","")</f>
        <v/>
      </c>
      <c r="I62" s="249" t="str">
        <f>IF(TipoDest="Vapor vivo",CLat.Gvapor2," ")</f>
        <v xml:space="preserve"> </v>
      </c>
      <c r="J62" s="250" t="str">
        <f>IF(TipoDest="Vapor vivo","J/mol","")</f>
        <v/>
      </c>
      <c r="K62" s="157"/>
      <c r="L62" s="157"/>
    </row>
    <row r="63" spans="2:25">
      <c r="B63" t="s">
        <v>345</v>
      </c>
      <c r="H63" s="35" t="str">
        <f>IF(TipoDest="Vapor vivo","H.G","")</f>
        <v/>
      </c>
      <c r="I63" s="249" t="str">
        <f>IF(TipoDest="Vapor vivo",I61*(Tsat.G-T.ref)+I62," ")</f>
        <v xml:space="preserve"> </v>
      </c>
      <c r="J63" s="250" t="str">
        <f>IF(TipoDest="Vapor vivo","J/mol","")</f>
        <v/>
      </c>
      <c r="K63" s="157"/>
      <c r="L63" s="157"/>
    </row>
    <row r="64" spans="2:25">
      <c r="I64" s="157"/>
      <c r="J64" s="157"/>
      <c r="K64" s="157"/>
      <c r="L64" s="157"/>
    </row>
    <row r="65" spans="1:26">
      <c r="B65" s="177"/>
      <c r="C65" s="177"/>
      <c r="D65" s="177"/>
      <c r="E65" s="177"/>
      <c r="F65" s="177"/>
      <c r="G65" s="177"/>
      <c r="H65" s="177"/>
      <c r="I65" s="254"/>
      <c r="J65" s="254"/>
      <c r="K65" s="254"/>
      <c r="L65" s="254"/>
    </row>
    <row r="66" spans="1:26" ht="18">
      <c r="A66" s="157"/>
      <c r="B66" s="157"/>
      <c r="C66" s="157"/>
      <c r="D66" s="157"/>
      <c r="E66" s="141" t="s">
        <v>261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</row>
    <row r="67" spans="1:26" ht="15">
      <c r="A67" s="157"/>
      <c r="B67" s="34" t="s">
        <v>262</v>
      </c>
      <c r="C67" s="157"/>
      <c r="D67" s="157"/>
      <c r="E67" s="255" t="s">
        <v>263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</row>
    <row r="68" spans="1:26" ht="15">
      <c r="A68" s="157"/>
      <c r="B68" s="256" t="s">
        <v>264</v>
      </c>
      <c r="C68" s="257">
        <f ca="1">IF(ISBLANK(T.ref),,(HfG-Hf)/(HfG-HfL))</f>
        <v>0.70000000000000007</v>
      </c>
      <c r="D68" s="157"/>
      <c r="E68" s="173" t="s">
        <v>265</v>
      </c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</row>
    <row r="69" spans="1:26">
      <c r="A69" s="157"/>
      <c r="B69" s="256" t="s">
        <v>266</v>
      </c>
      <c r="C69" s="258">
        <f ca="1">IF(ISBLANK(T.ref),,IF(Alimentacion="Líquido saturado","Infinito",q/(q-1)))</f>
        <v>-2.3333333333333339</v>
      </c>
      <c r="D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</row>
    <row r="70" spans="1:26" ht="15">
      <c r="A70" s="157"/>
      <c r="B70" s="256" t="s">
        <v>267</v>
      </c>
      <c r="C70" s="257">
        <f ca="1">IF(ISBLANK(T.ref),,IF(Alimentacion="Líquido saturado","No aplica",-zF/(q-1)))</f>
        <v>2.229711610242584</v>
      </c>
      <c r="D70" s="157"/>
      <c r="E70" s="255" t="str">
        <f>_xlfn.IFS(Tangencia="Tangencia en el enriquecimiento","Ingrese el valor de x en el que la curva es tangente:",Tangencia="Sin tangencia","Ingrese el valor de x en el que la curva q intercepta la curva de equilibrio:")</f>
        <v>Ingrese el valor de x en el que la curva q intercepta la curva de equilibrio: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</row>
    <row r="71" spans="1:26">
      <c r="A71" s="157"/>
      <c r="B71" s="157"/>
      <c r="C71" s="240"/>
      <c r="D71" s="157"/>
      <c r="E71" s="259" t="s">
        <v>188</v>
      </c>
      <c r="F71" s="260">
        <v>0.61399999999999999</v>
      </c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</row>
    <row r="72" spans="1:26" ht="38.25" customHeight="1">
      <c r="A72" s="157"/>
      <c r="B72" s="157"/>
      <c r="C72" s="240"/>
      <c r="D72" s="157"/>
      <c r="E72" s="157"/>
      <c r="F72" s="421" t="s">
        <v>268</v>
      </c>
      <c r="G72" s="421"/>
      <c r="H72" s="421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</row>
    <row r="73" spans="1:26">
      <c r="A73" s="157"/>
      <c r="B73" s="157"/>
      <c r="C73" s="240"/>
      <c r="D73" s="157"/>
      <c r="E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</row>
    <row r="74" spans="1:26">
      <c r="A74" s="157"/>
      <c r="B74" s="256" t="s">
        <v>269</v>
      </c>
      <c r="C74" s="257">
        <f ca="1">IF(ISBLANK(F71),#N/A,(xD/EnRm.b)-1)</f>
        <v>0.94720372537228359</v>
      </c>
      <c r="D74" s="157"/>
      <c r="E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</row>
    <row r="75" spans="1:26">
      <c r="A75" s="157"/>
      <c r="B75" s="261" t="str">
        <f>IF(ISBLANK(F71),"Nota: ingrese valor en el paso 4","")</f>
        <v/>
      </c>
      <c r="C75" s="157"/>
      <c r="D75" s="157"/>
      <c r="E75" s="157"/>
      <c r="F75" s="157"/>
      <c r="G75" s="157"/>
      <c r="H75" s="157"/>
      <c r="I75" s="34" t="s">
        <v>270</v>
      </c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</row>
    <row r="76" spans="1:26" ht="15">
      <c r="A76" s="157"/>
      <c r="B76" s="157"/>
      <c r="C76" s="157"/>
      <c r="D76" s="157"/>
      <c r="E76" s="157"/>
      <c r="F76" s="157"/>
      <c r="G76" s="157"/>
      <c r="H76" s="157"/>
      <c r="I76" s="420" t="s">
        <v>271</v>
      </c>
      <c r="J76" s="420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</row>
    <row r="77" spans="1:26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</row>
    <row r="78" spans="1:26">
      <c r="A78" s="157"/>
      <c r="B78" s="157"/>
      <c r="C78" s="157"/>
      <c r="D78" s="157"/>
      <c r="E78" s="157"/>
      <c r="F78" s="157"/>
      <c r="G78" s="157"/>
      <c r="H78" s="157"/>
      <c r="I78" s="34" t="str">
        <f>IF(I76="No. de veces Rmin", "Ingrese la relación de reflujo (No. veces Rmin)","Ingrese la relación de reflujo")</f>
        <v>Ingrese la relación de reflujo (No. veces Rmin)</v>
      </c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</row>
    <row r="79" spans="1:26">
      <c r="A79" s="157"/>
      <c r="B79" s="157"/>
      <c r="C79" s="157"/>
      <c r="D79" s="157"/>
      <c r="E79" s="157"/>
      <c r="F79" s="157"/>
      <c r="G79" s="157"/>
      <c r="H79" s="157"/>
      <c r="I79" s="260">
        <v>2</v>
      </c>
      <c r="J79" s="262" t="str">
        <f>IF(I76="No. de veces Rmin", " ⊠ Rmin","R")</f>
        <v xml:space="preserve"> ⊠ Rmin</v>
      </c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</row>
    <row r="80" spans="1:26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</row>
    <row r="81" spans="1:26">
      <c r="A81" s="157"/>
      <c r="B81" s="157"/>
      <c r="C81" s="157"/>
      <c r="D81" s="157"/>
      <c r="E81" s="157"/>
      <c r="F81" s="157"/>
      <c r="G81" s="157"/>
      <c r="H81" s="157"/>
      <c r="I81" s="256" t="s">
        <v>272</v>
      </c>
      <c r="J81" s="257">
        <f ca="1">IF(I76="No. de veces Rmin", I79*Rmin,I79)</f>
        <v>1.8944074507445672</v>
      </c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</row>
    <row r="82" spans="1:26">
      <c r="A82" s="157"/>
      <c r="B82" s="157"/>
      <c r="C82" s="157"/>
      <c r="D82" s="157"/>
      <c r="E82" s="157"/>
      <c r="F82" s="157"/>
      <c r="G82" s="157"/>
      <c r="H82" s="157"/>
      <c r="I82" s="256" t="s">
        <v>273</v>
      </c>
      <c r="J82" s="257">
        <f ca="1">IF(ISBLANK(I79),,xD/(RelRefl+1))</f>
        <v>0.3367220435297385</v>
      </c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</row>
    <row r="83" spans="1:26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</row>
    <row r="84" spans="1:26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</row>
    <row r="85" spans="1:26">
      <c r="A85" s="157"/>
      <c r="B85" s="157"/>
      <c r="C85" s="157"/>
      <c r="D85" s="157"/>
      <c r="E85" s="157"/>
      <c r="F85" s="157"/>
      <c r="G85" s="157"/>
      <c r="H85" s="157"/>
      <c r="I85" s="34" t="s">
        <v>274</v>
      </c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</row>
    <row r="86" spans="1:26" ht="15">
      <c r="A86" s="157"/>
      <c r="B86" s="157"/>
      <c r="C86" s="157"/>
      <c r="D86" s="157"/>
      <c r="E86" s="157"/>
      <c r="F86" s="157"/>
      <c r="G86" s="157"/>
      <c r="H86" s="157"/>
      <c r="I86" s="173" t="s">
        <v>357</v>
      </c>
      <c r="J86" s="197" t="str">
        <f>IF(Mostrar.Nm="Mostrar","Nm","")</f>
        <v/>
      </c>
      <c r="K86" s="263" t="str">
        <f>IF(Mostrar.Nm="Mostrar",Nm,"")</f>
        <v/>
      </c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</row>
    <row r="87" spans="1:26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</row>
    <row r="88" spans="1:26">
      <c r="A88" s="157"/>
      <c r="B88" s="157"/>
      <c r="C88" s="157"/>
      <c r="D88" s="157"/>
      <c r="E88" s="157"/>
      <c r="F88" s="157"/>
      <c r="G88" s="157"/>
      <c r="H88" s="157"/>
      <c r="I88" s="34" t="s">
        <v>276</v>
      </c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</row>
    <row r="89" spans="1:26" ht="15">
      <c r="A89" s="157"/>
      <c r="B89" s="157"/>
      <c r="C89" s="157"/>
      <c r="D89" s="157"/>
      <c r="E89" s="157"/>
      <c r="F89" s="157"/>
      <c r="G89" s="157"/>
      <c r="H89" s="157"/>
      <c r="I89" s="173" t="s">
        <v>344</v>
      </c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</row>
    <row r="90" spans="1:26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</row>
    <row r="91" spans="1:26" ht="15">
      <c r="A91" s="157"/>
      <c r="B91" s="157"/>
      <c r="C91" s="157"/>
      <c r="D91" s="157"/>
      <c r="E91" s="157"/>
      <c r="F91" s="157"/>
      <c r="G91" s="157"/>
      <c r="H91" s="157"/>
      <c r="I91" s="420" t="s">
        <v>348</v>
      </c>
      <c r="J91" s="420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</row>
    <row r="92" spans="1:26">
      <c r="A92" s="157"/>
      <c r="B92" s="157"/>
      <c r="C92" s="157"/>
      <c r="D92" s="157"/>
      <c r="E92" s="157"/>
      <c r="F92" s="157"/>
      <c r="G92" s="157"/>
      <c r="H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</row>
    <row r="93" spans="1:26">
      <c r="A93" s="157"/>
      <c r="B93" s="157"/>
      <c r="C93" s="157"/>
      <c r="D93" s="157"/>
      <c r="E93" s="157"/>
      <c r="F93" s="157"/>
      <c r="G93" s="157"/>
      <c r="H93" s="157"/>
      <c r="I93" s="264" t="str">
        <f>_xlfn.IFS(Em.tipo="Em del líquido","EmL",Em.tipo="Em del vapor","EmV",Em.tipo="Sin valor (usar Em=1)","")</f>
        <v/>
      </c>
      <c r="J93" s="265"/>
      <c r="K93" s="266" t="str">
        <f>_xlfn.IFS(Em.tipo="Em del líquido","Ingrese EmL",Em.tipo="Em del vapor","Ingrese EmV",Em.tipo="Sin valor (usar Em=1)","")</f>
        <v/>
      </c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</row>
    <row r="94" spans="1:26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</row>
    <row r="95" spans="1:26">
      <c r="A95" s="157"/>
      <c r="B95" s="157"/>
      <c r="C95" s="157"/>
      <c r="D95" s="157"/>
      <c r="E95" s="157"/>
      <c r="F95" s="157"/>
      <c r="G95" s="157"/>
      <c r="H95" s="157"/>
      <c r="I95" s="34" t="s">
        <v>277</v>
      </c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</row>
    <row r="96" spans="1:26">
      <c r="A96" s="157"/>
      <c r="B96" s="157"/>
      <c r="C96" s="157"/>
      <c r="D96" s="157"/>
      <c r="E96" s="157"/>
      <c r="F96" s="157"/>
      <c r="G96" s="157"/>
      <c r="H96" s="157"/>
      <c r="I96" s="267" t="s">
        <v>278</v>
      </c>
      <c r="J96" s="268">
        <f ca="1">Np</f>
        <v>13</v>
      </c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</row>
    <row r="97" spans="1:26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</row>
    <row r="98" spans="1:26">
      <c r="A98" s="157"/>
      <c r="B98" s="157"/>
      <c r="C98" s="157"/>
      <c r="D98" s="157"/>
      <c r="E98" s="157"/>
      <c r="F98" s="157"/>
      <c r="G98" s="157"/>
      <c r="H98" s="157"/>
      <c r="I98" s="34" t="s">
        <v>279</v>
      </c>
      <c r="J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</row>
    <row r="99" spans="1:26">
      <c r="A99" s="157"/>
      <c r="B99" s="157"/>
      <c r="C99" s="157"/>
      <c r="D99" s="157"/>
      <c r="E99" s="157"/>
      <c r="F99" s="157"/>
      <c r="G99" s="157"/>
      <c r="H99" s="157"/>
      <c r="I99" s="267" t="s">
        <v>280</v>
      </c>
      <c r="J99" s="269">
        <f ca="1">Etapa.Alim</f>
        <v>7</v>
      </c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</row>
    <row r="100" spans="1:26">
      <c r="A100" s="157"/>
      <c r="B100" s="157"/>
      <c r="C100" s="157"/>
      <c r="D100" s="157"/>
      <c r="E100" s="157"/>
      <c r="F100" s="157"/>
      <c r="G100" s="157"/>
      <c r="H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</row>
    <row r="101" spans="1:26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</row>
    <row r="102" spans="1:26">
      <c r="A102" s="157"/>
      <c r="B102" s="157"/>
      <c r="C102" s="157"/>
      <c r="D102" s="157"/>
      <c r="E102" s="157"/>
      <c r="F102" s="157"/>
      <c r="G102" s="157"/>
      <c r="H102" s="157"/>
      <c r="I102" s="34" t="s">
        <v>281</v>
      </c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</row>
    <row r="103" spans="1:26" ht="15">
      <c r="A103" s="157"/>
      <c r="B103" s="157"/>
      <c r="C103" s="157"/>
      <c r="D103" s="157"/>
      <c r="E103" s="157"/>
      <c r="F103" s="157"/>
      <c r="G103" s="157"/>
      <c r="H103" s="157"/>
      <c r="I103" s="173" t="s">
        <v>275</v>
      </c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</row>
    <row r="104" spans="1:26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</row>
    <row r="105" spans="1:26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</row>
    <row r="106" spans="1:26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</row>
    <row r="107" spans="1:26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</row>
    <row r="108" spans="1:26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</row>
    <row r="109" spans="1:26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</row>
    <row r="110" spans="1:26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</row>
    <row r="111" spans="1:26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</row>
    <row r="112" spans="1:26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</row>
    <row r="113" spans="1:26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</row>
    <row r="114" spans="1:26">
      <c r="A114" s="157"/>
      <c r="B114" s="270"/>
      <c r="C114" s="270"/>
      <c r="D114" s="270"/>
      <c r="E114" s="270"/>
      <c r="F114" s="270"/>
      <c r="G114" s="271"/>
      <c r="H114" s="271"/>
      <c r="I114" s="271"/>
      <c r="J114" s="271"/>
      <c r="K114" s="271"/>
      <c r="L114" s="271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</row>
    <row r="115" spans="1:26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</row>
    <row r="116" spans="1:26" ht="18">
      <c r="A116" s="157"/>
      <c r="B116" s="272" t="s">
        <v>282</v>
      </c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</row>
    <row r="118" spans="1:26">
      <c r="A118" s="157"/>
      <c r="B118" s="273" t="s">
        <v>170</v>
      </c>
      <c r="C118" s="274">
        <f>IF(H11="kg/h",(CONVERT(F.user,"kg","g"))/(zF*M.1+(1-zF)*M.2),F.user*1000)</f>
        <v>39271.337584012384</v>
      </c>
      <c r="D118" s="275" t="s">
        <v>283</v>
      </c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</row>
    <row r="119" spans="1:26">
      <c r="A119" s="157"/>
      <c r="B119" s="276" t="s">
        <v>172</v>
      </c>
      <c r="C119" s="277">
        <f>IF(ISBLANK(Qt.user),0,Qt.user*1000)</f>
        <v>0</v>
      </c>
      <c r="D119" s="278" t="s">
        <v>284</v>
      </c>
      <c r="E119" s="157"/>
      <c r="F119" s="157"/>
      <c r="G119" s="157"/>
      <c r="H119" s="157"/>
      <c r="I119" s="279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</row>
    <row r="120" spans="1:26">
      <c r="A120" s="157"/>
      <c r="B120" s="34"/>
      <c r="C120" s="157"/>
      <c r="D120" s="157"/>
      <c r="E120" s="157"/>
      <c r="F120" s="157"/>
      <c r="G120" s="157"/>
      <c r="H120" s="157"/>
      <c r="I120" s="279" t="s">
        <v>285</v>
      </c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</row>
    <row r="121" spans="1:26">
      <c r="A121" s="157"/>
      <c r="B121" s="34" t="s">
        <v>286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</row>
    <row r="122" spans="1:26" ht="15.75">
      <c r="A122" s="157"/>
      <c r="B122" s="280" t="s">
        <v>287</v>
      </c>
      <c r="G122" s="157"/>
      <c r="H122" s="157"/>
      <c r="I122" s="281" t="s">
        <v>288</v>
      </c>
      <c r="J122" s="282">
        <f ca="1">F132</f>
        <v>26825.104288844486</v>
      </c>
      <c r="K122" s="283" t="s">
        <v>283</v>
      </c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</row>
    <row r="123" spans="1:26">
      <c r="A123" s="157"/>
      <c r="B123" s="166" t="s">
        <v>288</v>
      </c>
      <c r="C123" s="166" t="s">
        <v>289</v>
      </c>
      <c r="D123" s="166" t="s">
        <v>290</v>
      </c>
      <c r="E123" s="166" t="str">
        <f>IF(TipoDest="Vapor vivo","G","Qb")</f>
        <v>Qb</v>
      </c>
      <c r="F123" s="284" t="s">
        <v>291</v>
      </c>
      <c r="H123" s="157"/>
      <c r="I123" s="281"/>
      <c r="J123" s="282">
        <f ca="1">CONVERT(J122*(xD*M.1+(1-xD)*M.2),"g","kg")</f>
        <v>2095.2380952380959</v>
      </c>
      <c r="K123" s="283" t="s">
        <v>292</v>
      </c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</row>
    <row r="124" spans="1:26">
      <c r="A124" s="157"/>
      <c r="B124" s="285">
        <v>1</v>
      </c>
      <c r="C124" s="285">
        <v>1</v>
      </c>
      <c r="D124" s="285">
        <v>0</v>
      </c>
      <c r="E124" s="285">
        <f>IF(TipoDest="Vapor vivo",-1,0)</f>
        <v>0</v>
      </c>
      <c r="F124" s="286">
        <f>F_alim</f>
        <v>39271.337584012384</v>
      </c>
      <c r="G124" s="34" t="s">
        <v>283</v>
      </c>
      <c r="H124" s="157"/>
      <c r="I124" s="266"/>
      <c r="J124" s="240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</row>
    <row r="125" spans="1:26">
      <c r="A125" s="157"/>
      <c r="B125" s="287">
        <f>xD</f>
        <v>0.9746107916224116</v>
      </c>
      <c r="C125" s="288">
        <f>xW</f>
        <v>1.0050517210906332E-2</v>
      </c>
      <c r="D125" s="287">
        <v>0</v>
      </c>
      <c r="E125" s="287">
        <f>IF(TipoDest="Vapor vivo",-yG,0)</f>
        <v>0</v>
      </c>
      <c r="F125" s="286">
        <f>F_alim*zF</f>
        <v>26269.127208248505</v>
      </c>
      <c r="G125" s="34" t="s">
        <v>283</v>
      </c>
      <c r="H125" s="157"/>
      <c r="I125" s="289" t="s">
        <v>289</v>
      </c>
      <c r="J125" s="290">
        <f ca="1">F133</f>
        <v>12446.233295167865</v>
      </c>
      <c r="K125" s="291" t="s">
        <v>283</v>
      </c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</row>
    <row r="126" spans="1:26">
      <c r="A126" s="157"/>
      <c r="B126" s="292">
        <f ca="1">(RelRefl+1)*(H.G1-H.D)</f>
        <v>78443.268035158384</v>
      </c>
      <c r="C126" s="285">
        <v>0</v>
      </c>
      <c r="D126" s="292">
        <f>-1</f>
        <v>-1</v>
      </c>
      <c r="E126" s="285">
        <f>IF(TipoDest="Vapor vivo",0,0)</f>
        <v>0</v>
      </c>
      <c r="F126" s="293">
        <v>0</v>
      </c>
      <c r="G126" s="34" t="s">
        <v>190</v>
      </c>
      <c r="H126" s="157"/>
      <c r="I126" s="289"/>
      <c r="J126" s="290">
        <f ca="1">CONVERT(J125*(xW*M.1+(1-xW)*M.2),"g","kg")</f>
        <v>1904.761904761898</v>
      </c>
      <c r="K126" s="291" t="s">
        <v>292</v>
      </c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</row>
    <row r="127" spans="1:26">
      <c r="A127" s="157"/>
      <c r="B127" s="288">
        <f ca="1">H.D</f>
        <v>0</v>
      </c>
      <c r="C127" s="288">
        <f ca="1">H.W</f>
        <v>3892.1589664107123</v>
      </c>
      <c r="D127" s="285">
        <v>1</v>
      </c>
      <c r="E127" s="287">
        <f>IF(TipoDest="Vapor vivo",-H.G,-1)</f>
        <v>-1</v>
      </c>
      <c r="F127" s="286">
        <f ca="1">F_alim*Hf-Qt</f>
        <v>352911328.56977874</v>
      </c>
      <c r="G127" s="34" t="s">
        <v>284</v>
      </c>
      <c r="H127" s="157"/>
      <c r="I127" s="294"/>
      <c r="J127" s="240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</row>
    <row r="128" spans="1:26">
      <c r="A128" s="157"/>
      <c r="B128" s="194"/>
      <c r="C128" s="194"/>
      <c r="D128" s="194"/>
      <c r="E128" s="194"/>
      <c r="F128" s="157"/>
      <c r="H128" s="157"/>
      <c r="I128" s="295" t="s">
        <v>290</v>
      </c>
      <c r="J128" s="296">
        <f ca="1">F134</f>
        <v>2104248845.8009043</v>
      </c>
      <c r="K128" s="297" t="s">
        <v>284</v>
      </c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</row>
    <row r="129" spans="1:26">
      <c r="A129" s="157"/>
      <c r="B129" s="194"/>
      <c r="C129" s="194"/>
      <c r="D129" s="194"/>
      <c r="E129" s="194"/>
      <c r="F129" s="157"/>
      <c r="H129" s="157"/>
      <c r="I129" s="295"/>
      <c r="J129" s="298">
        <f ca="1">J128/1000</f>
        <v>2104248.8458009041</v>
      </c>
      <c r="K129" s="297" t="s">
        <v>173</v>
      </c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</row>
    <row r="130" spans="1:26" ht="15.75">
      <c r="A130" s="157"/>
      <c r="B130" s="280" t="s">
        <v>293</v>
      </c>
      <c r="H130" s="157"/>
      <c r="I130" s="294"/>
      <c r="J130" s="240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</row>
    <row r="131" spans="1:26">
      <c r="A131" s="157"/>
      <c r="B131" s="166" t="s">
        <v>294</v>
      </c>
      <c r="F131" s="284" t="s">
        <v>295</v>
      </c>
      <c r="H131" s="157"/>
      <c r="I131" s="299" t="str">
        <f>IF(TipoDest="Vapor vivo","G","Qb")</f>
        <v>Qb</v>
      </c>
      <c r="J131" s="300">
        <f ca="1">F135</f>
        <v>1799780235.7489526</v>
      </c>
      <c r="K131" s="301" t="str">
        <f>IF(TipoDest="Vapor vivo","mol/h","J/h")</f>
        <v>J/h</v>
      </c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</row>
    <row r="132" spans="1:26">
      <c r="A132" s="157"/>
      <c r="B132" s="302">
        <f t="array" aca="1" ref="B132:E135" ca="1">MINVERSE(B124:E127)</f>
        <v>-1.0419791771995103E-2</v>
      </c>
      <c r="C132" s="302">
        <f ca="1"/>
        <v>1.0367418465477622</v>
      </c>
      <c r="D132" s="302">
        <f ca="1"/>
        <v>0</v>
      </c>
      <c r="E132" s="302">
        <f ca="1"/>
        <v>0</v>
      </c>
      <c r="F132" s="286">
        <f t="array" aca="1" ref="F132:F135" ca="1">MMULT(B132:E135,F124:F127)</f>
        <v>26825.104288844486</v>
      </c>
      <c r="G132" s="284" t="s">
        <v>288</v>
      </c>
      <c r="H132" s="157"/>
      <c r="I132" s="299"/>
      <c r="J132" s="303">
        <f ca="1">IF(TipoDest="Vapor vivo",CONVERT(J125*(yG*M.1+(1-yG)*M.2),"g","kg"),J131/1000)</f>
        <v>1799780.2357489527</v>
      </c>
      <c r="K132" s="301" t="str">
        <f>IF(TipoDest="Vapor vivo","kg/h","kJ/h")</f>
        <v>kJ/h</v>
      </c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</row>
    <row r="133" spans="1:26">
      <c r="A133" s="157"/>
      <c r="B133" s="302">
        <f ca="1"/>
        <v>1.010419791771995</v>
      </c>
      <c r="C133" s="304">
        <f ca="1"/>
        <v>-1.0367418465477636</v>
      </c>
      <c r="D133" s="302">
        <f ca="1"/>
        <v>0</v>
      </c>
      <c r="E133" s="302">
        <f ca="1"/>
        <v>0</v>
      </c>
      <c r="F133" s="286">
        <f ca="1"/>
        <v>12446.233295167865</v>
      </c>
      <c r="G133" s="284" t="s">
        <v>289</v>
      </c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</row>
    <row r="134" spans="1:26">
      <c r="A134" s="157"/>
      <c r="B134" s="304">
        <f ca="1"/>
        <v>-817.36251884114972</v>
      </c>
      <c r="C134" s="302">
        <f ca="1"/>
        <v>81325.41855201115</v>
      </c>
      <c r="D134" s="304">
        <f ca="1"/>
        <v>-1</v>
      </c>
      <c r="E134" s="302">
        <f ca="1"/>
        <v>0</v>
      </c>
      <c r="F134" s="293">
        <f ca="1"/>
        <v>2104248845.8009043</v>
      </c>
      <c r="G134" s="284" t="s">
        <v>290</v>
      </c>
      <c r="H134" s="157"/>
      <c r="I134" s="279">
        <f>IF(TipoDest="Vapor vivo","xΔw",)</f>
        <v>0</v>
      </c>
      <c r="J134" s="305">
        <f>IF(TipoDest="Vapor vivo",J125*xW/(J125-J131),)</f>
        <v>0</v>
      </c>
      <c r="K134" s="306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</row>
    <row r="135" spans="1:26">
      <c r="A135" s="157"/>
      <c r="B135" s="304">
        <f ca="1"/>
        <v>3115.351933543066</v>
      </c>
      <c r="C135" s="304">
        <f ca="1"/>
        <v>77290.254478117073</v>
      </c>
      <c r="D135" s="302">
        <f ca="1"/>
        <v>-1</v>
      </c>
      <c r="E135" s="302">
        <f ca="1"/>
        <v>-1</v>
      </c>
      <c r="F135" s="286">
        <f ca="1"/>
        <v>1799780235.7489526</v>
      </c>
      <c r="G135" s="284" t="str">
        <f>IF(TipoDest="Vapor vivo","G","Qb")</f>
        <v>Qb</v>
      </c>
      <c r="H135" s="157"/>
      <c r="I135" s="279" t="s">
        <v>296</v>
      </c>
      <c r="J135" s="307"/>
      <c r="K135" s="306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</row>
    <row r="136" spans="1:26">
      <c r="A136" s="157"/>
      <c r="B136" s="157"/>
      <c r="C136" s="157"/>
      <c r="D136" s="157"/>
      <c r="E136" s="157"/>
      <c r="F136" s="157"/>
      <c r="G136" s="157"/>
      <c r="H136" s="157"/>
      <c r="I136" s="34" t="s">
        <v>297</v>
      </c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</row>
    <row r="137" spans="1:26">
      <c r="A137" s="157"/>
      <c r="B137" s="35"/>
      <c r="C137" s="35"/>
      <c r="D137" s="35"/>
      <c r="E137" s="35"/>
      <c r="F137" s="35"/>
      <c r="I137" s="308" t="s">
        <v>298</v>
      </c>
      <c r="J137" s="309">
        <f ca="1">J138*En.m</f>
        <v>50817.677431787051</v>
      </c>
      <c r="K137" s="310" t="s">
        <v>283</v>
      </c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</row>
    <row r="138" spans="1:26">
      <c r="A138" s="157"/>
      <c r="B138" s="35"/>
      <c r="C138" s="35"/>
      <c r="D138" s="35"/>
      <c r="E138" s="35"/>
      <c r="F138" s="35"/>
      <c r="I138" s="308" t="s">
        <v>299</v>
      </c>
      <c r="J138" s="309">
        <f ca="1">J122*xD/En.b</f>
        <v>77642.781720631538</v>
      </c>
      <c r="K138" s="310" t="s">
        <v>283</v>
      </c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</row>
    <row r="139" spans="1:26">
      <c r="A139" s="157"/>
      <c r="B139" s="35"/>
      <c r="C139" s="35"/>
      <c r="D139" s="35"/>
      <c r="E139" s="35"/>
      <c r="F139" s="35"/>
      <c r="I139" s="157"/>
      <c r="J139" s="311"/>
      <c r="K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</row>
    <row r="140" spans="1:26">
      <c r="A140" s="157"/>
      <c r="B140" s="35"/>
      <c r="C140" s="35"/>
      <c r="D140" s="35"/>
      <c r="E140" s="35"/>
      <c r="F140" s="35"/>
      <c r="I140" s="34" t="s">
        <v>300</v>
      </c>
      <c r="J140" s="311"/>
      <c r="K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</row>
    <row r="141" spans="1:26">
      <c r="A141" s="157"/>
      <c r="B141" s="35"/>
      <c r="C141" s="35"/>
      <c r="D141" s="35"/>
      <c r="E141" s="35"/>
      <c r="F141" s="35"/>
      <c r="I141" s="312" t="s">
        <v>301</v>
      </c>
      <c r="J141" s="313">
        <f ca="1">J142*Ago.m</f>
        <v>78307.613740597008</v>
      </c>
      <c r="K141" s="314" t="s">
        <v>283</v>
      </c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</row>
    <row r="142" spans="1:26">
      <c r="A142" s="157"/>
      <c r="B142" s="35"/>
      <c r="C142" s="35"/>
      <c r="D142" s="35"/>
      <c r="E142" s="35"/>
      <c r="F142" s="35"/>
      <c r="I142" s="312" t="s">
        <v>302</v>
      </c>
      <c r="J142" s="313">
        <f ca="1">-J125*xW/Ago.b</f>
        <v>65861.38044542892</v>
      </c>
      <c r="K142" s="314" t="s">
        <v>283</v>
      </c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</row>
    <row r="143" spans="1:26">
      <c r="A143" s="157"/>
      <c r="B143" s="35"/>
      <c r="C143" s="35"/>
      <c r="D143" s="35"/>
      <c r="E143" s="35"/>
      <c r="F143" s="35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</row>
    <row r="144" spans="1:26">
      <c r="A144" s="157"/>
      <c r="B144" s="270"/>
      <c r="C144" s="270"/>
      <c r="D144" s="270"/>
      <c r="E144" s="270"/>
      <c r="F144" s="270"/>
      <c r="G144" s="271"/>
      <c r="H144" s="271"/>
      <c r="I144" s="271"/>
      <c r="J144" s="271"/>
      <c r="K144" s="271"/>
      <c r="L144" s="271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</row>
    <row r="145" spans="1:26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</row>
    <row r="146" spans="1:26"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</row>
    <row r="147" spans="1:26"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</row>
  </sheetData>
  <mergeCells count="5">
    <mergeCell ref="B5:D5"/>
    <mergeCell ref="C21:D21"/>
    <mergeCell ref="I76:J76"/>
    <mergeCell ref="I91:J91"/>
    <mergeCell ref="F72:H72"/>
  </mergeCells>
  <dataValidations count="12">
    <dataValidation type="list" showInputMessage="1" showErrorMessage="1" sqref="D11">
      <formula1>"% mol, % masa"</formula1>
    </dataValidation>
    <dataValidation type="list" allowBlank="1" showInputMessage="1" showErrorMessage="1" sqref="D13 D15">
      <formula1>"% mol, % masa"</formula1>
    </dataValidation>
    <dataValidation type="list" allowBlank="1" showInputMessage="1" showErrorMessage="1" sqref="H11">
      <formula1>"kmol/h, kg/h"</formula1>
    </dataValidation>
    <dataValidation type="list" allowBlank="1" showInputMessage="1" showErrorMessage="1" sqref="C19">
      <formula1>"Vapor vivo, Rehevidor"</formula1>
    </dataValidation>
    <dataValidation type="list" allowBlank="1" showInputMessage="1" showErrorMessage="1" sqref="C21">
      <formula1>"Líq. subenfriado T.entrada, Líq. subenfriado Moles condensados, Líquido saturado, Líquido + Vapor, Vapor Saturado, Vapor Sobrecalentado"</formula1>
    </dataValidation>
    <dataValidation type="list" allowBlank="1" showInputMessage="1" showErrorMessage="1" sqref="D23">
      <formula1>"Tsat D,Tsat W ,Personalizado"</formula1>
    </dataValidation>
    <dataValidation type="list" allowBlank="1" showInputMessage="1" showErrorMessage="1" sqref="E5">
      <formula1>"0.987,1"</formula1>
    </dataValidation>
    <dataValidation type="list" allowBlank="1" showInputMessage="1" showErrorMessage="1" sqref="I76:J76">
      <formula1>"Relación de reflujo específica,No. de veces Rmin"</formula1>
    </dataValidation>
    <dataValidation type="list" allowBlank="1" showInputMessage="1" showErrorMessage="1" sqref="I86">
      <formula1>"Mostrar, No Mostrar"</formula1>
    </dataValidation>
    <dataValidation type="list" allowBlank="1" showInputMessage="1" showErrorMessage="1" sqref="I103">
      <formula1>"Mostrar,No Mostrar"</formula1>
    </dataValidation>
    <dataValidation type="list" allowBlank="1" showInputMessage="1" showErrorMessage="1" sqref="I89">
      <formula1>"Ocultar,No ocultar"</formula1>
    </dataValidation>
    <dataValidation type="list" allowBlank="1" showInputMessage="1" showErrorMessage="1" sqref="I91:J91">
      <formula1>"Sin valor (usar Em=1),Em del vapor,Em del líquido"</formula1>
    </dataValidation>
  </dataValidations>
  <hyperlinks>
    <hyperlink ref="Q2" r:id="rId1"/>
  </hyperlinks>
  <pageMargins left="0.7" right="0.7" top="0.75" bottom="0.75" header="0.3" footer="0.3"/>
  <pageSetup orientation="portrait" horizontalDpi="4294967293" verticalDpi="4294967293" r:id="rId2"/>
  <ignoredErrors>
    <ignoredError sqref="J122:J123 J125:J126 J128:J129 J132 J134 J137:J138 J141:J142" evalError="1"/>
  </ignoredError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de Datos'!$A$5:$A$24</xm:f>
          </x14:formula1>
          <xm:sqref>B5:D5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"/>
  <sheetViews>
    <sheetView workbookViewId="0"/>
  </sheetViews>
  <sheetFormatPr baseColWidth="10" defaultColWidth="14.42578125" defaultRowHeight="15.75" customHeight="1"/>
  <sheetData>
    <row r="1" spans="1:8" ht="15.75" customHeight="1">
      <c r="A1" s="35" t="s">
        <v>316</v>
      </c>
      <c r="B1" s="35" t="s">
        <v>317</v>
      </c>
      <c r="D1" s="35" t="s">
        <v>318</v>
      </c>
      <c r="H1" s="14">
        <v>1</v>
      </c>
    </row>
    <row r="2" spans="1:8" ht="15.75" customHeight="1">
      <c r="A2" t="e">
        <v>#REF!</v>
      </c>
      <c r="B2" t="b">
        <f>Equilibrio!K33=1</f>
        <v>0</v>
      </c>
    </row>
    <row r="3" spans="1:8" ht="15.75" customHeight="1">
      <c r="A3" t="e">
        <v>#VALUE!</v>
      </c>
      <c r="B3" s="6">
        <f>Equilibrio!E33</f>
        <v>89.4484648300934</v>
      </c>
    </row>
    <row r="4" spans="1:8" ht="15.75" customHeight="1">
      <c r="A4" s="35" t="s">
        <v>319</v>
      </c>
      <c r="B4" s="35" t="s">
        <v>320</v>
      </c>
    </row>
    <row r="5" spans="1:8" ht="15.75" customHeight="1">
      <c r="A5" s="35" t="s">
        <v>321</v>
      </c>
    </row>
    <row r="6" spans="1:8" ht="15.75" customHeight="1">
      <c r="A6" s="35" t="s">
        <v>322</v>
      </c>
      <c r="B6" s="35" t="s">
        <v>323</v>
      </c>
    </row>
    <row r="7" spans="1:8" ht="15.75" customHeight="1">
      <c r="A7" t="e">
        <v>#VALUE!</v>
      </c>
    </row>
    <row r="8" spans="1:8" ht="15.75" customHeight="1">
      <c r="A8" t="e"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143</vt:i4>
      </vt:variant>
    </vt:vector>
  </HeadingPairs>
  <TitlesOfParts>
    <vt:vector size="150" baseType="lpstr">
      <vt:lpstr>Datos para equilibrio</vt:lpstr>
      <vt:lpstr>Equilibrio</vt:lpstr>
      <vt:lpstr>Base de Datos</vt:lpstr>
      <vt:lpstr>Datos del usuario</vt:lpstr>
      <vt:lpstr>Líneas de Tendencia</vt:lpstr>
      <vt:lpstr>Resolución McCabe-Thiele</vt:lpstr>
      <vt:lpstr>__Solver__</vt:lpstr>
      <vt:lpstr>A.1</vt:lpstr>
      <vt:lpstr>A.12</vt:lpstr>
      <vt:lpstr>A.2</vt:lpstr>
      <vt:lpstr>A.21</vt:lpstr>
      <vt:lpstr>Ago.b</vt:lpstr>
      <vt:lpstr>Ago.m</vt:lpstr>
      <vt:lpstr>Ago.xq</vt:lpstr>
      <vt:lpstr>Ago.yq</vt:lpstr>
      <vt:lpstr>Alimentacion</vt:lpstr>
      <vt:lpstr>AntoineAguaA</vt:lpstr>
      <vt:lpstr>AntoineAguaB</vt:lpstr>
      <vt:lpstr>AntoineAguaC</vt:lpstr>
      <vt:lpstr>B.1</vt:lpstr>
      <vt:lpstr>B.2</vt:lpstr>
      <vt:lpstr>C.1</vt:lpstr>
      <vt:lpstr>C.2</vt:lpstr>
      <vt:lpstr>CLat.F1</vt:lpstr>
      <vt:lpstr>CLat.F2</vt:lpstr>
      <vt:lpstr>CLat.G1.1</vt:lpstr>
      <vt:lpstr>CLat.G1.2</vt:lpstr>
      <vt:lpstr>CLat.Gvapor1</vt:lpstr>
      <vt:lpstr>CLat.Gvapor2</vt:lpstr>
      <vt:lpstr>cpC1.1</vt:lpstr>
      <vt:lpstr>cpC1.2</vt:lpstr>
      <vt:lpstr>cpC1.3</vt:lpstr>
      <vt:lpstr>cpC1.4</vt:lpstr>
      <vt:lpstr>cpC1.5</vt:lpstr>
      <vt:lpstr>cpC2.1</vt:lpstr>
      <vt:lpstr>cpC2.2</vt:lpstr>
      <vt:lpstr>cpC2.3</vt:lpstr>
      <vt:lpstr>cpC2.4</vt:lpstr>
      <vt:lpstr>cpC2.5</vt:lpstr>
      <vt:lpstr>CpL.1</vt:lpstr>
      <vt:lpstr>CpL.2</vt:lpstr>
      <vt:lpstr>Datos.sistemas</vt:lpstr>
      <vt:lpstr>Datos.sistemas.2</vt:lpstr>
      <vt:lpstr>Em</vt:lpstr>
      <vt:lpstr>Em.tipo</vt:lpstr>
      <vt:lpstr>Em.user</vt:lpstr>
      <vt:lpstr>En.b</vt:lpstr>
      <vt:lpstr>En.m</vt:lpstr>
      <vt:lpstr>EnRm.b</vt:lpstr>
      <vt:lpstr>EnRm.m</vt:lpstr>
      <vt:lpstr>EnRmOcultar</vt:lpstr>
      <vt:lpstr>Etapa.Alim</vt:lpstr>
      <vt:lpstr>F.user</vt:lpstr>
      <vt:lpstr>F_alim</vt:lpstr>
      <vt:lpstr>H.D</vt:lpstr>
      <vt:lpstr>H.G</vt:lpstr>
      <vt:lpstr>H.G1</vt:lpstr>
      <vt:lpstr>H.W</vt:lpstr>
      <vt:lpstr>Hf</vt:lpstr>
      <vt:lpstr>HfG</vt:lpstr>
      <vt:lpstr>HfL</vt:lpstr>
      <vt:lpstr>M.1</vt:lpstr>
      <vt:lpstr>M.2</vt:lpstr>
      <vt:lpstr>m10T</vt:lpstr>
      <vt:lpstr>m10y</vt:lpstr>
      <vt:lpstr>m1T</vt:lpstr>
      <vt:lpstr>m1y</vt:lpstr>
      <vt:lpstr>m2T</vt:lpstr>
      <vt:lpstr>m2y</vt:lpstr>
      <vt:lpstr>m3T</vt:lpstr>
      <vt:lpstr>m3y</vt:lpstr>
      <vt:lpstr>m4T</vt:lpstr>
      <vt:lpstr>m4y</vt:lpstr>
      <vt:lpstr>m5T</vt:lpstr>
      <vt:lpstr>m5y</vt:lpstr>
      <vt:lpstr>m6T</vt:lpstr>
      <vt:lpstr>m6y</vt:lpstr>
      <vt:lpstr>m7T</vt:lpstr>
      <vt:lpstr>m7y</vt:lpstr>
      <vt:lpstr>m8T</vt:lpstr>
      <vt:lpstr>m8y</vt:lpstr>
      <vt:lpstr>m9T</vt:lpstr>
      <vt:lpstr>m9y</vt:lpstr>
      <vt:lpstr>mbT</vt:lpstr>
      <vt:lpstr>mby</vt:lpstr>
      <vt:lpstr>Mostrar.Nm</vt:lpstr>
      <vt:lpstr>Mostrar.Pseudoeq</vt:lpstr>
      <vt:lpstr>Nm</vt:lpstr>
      <vt:lpstr>Np</vt:lpstr>
      <vt:lpstr>P.trabTorr</vt:lpstr>
      <vt:lpstr>Paso.q</vt:lpstr>
      <vt:lpstr>presion</vt:lpstr>
      <vt:lpstr>q</vt:lpstr>
      <vt:lpstr>q.equilibrio.tan</vt:lpstr>
      <vt:lpstr>qb</vt:lpstr>
      <vt:lpstr>qm</vt:lpstr>
      <vt:lpstr>Qt</vt:lpstr>
      <vt:lpstr>Qt.user</vt:lpstr>
      <vt:lpstr>RelRefl</vt:lpstr>
      <vt:lpstr>Rmin</vt:lpstr>
      <vt:lpstr>SISTEMA</vt:lpstr>
      <vt:lpstr>T.ref</vt:lpstr>
      <vt:lpstr>Tangencia</vt:lpstr>
      <vt:lpstr>Tc.1</vt:lpstr>
      <vt:lpstr>Tc.2</vt:lpstr>
      <vt:lpstr>TipoDest</vt:lpstr>
      <vt:lpstr>Tr.1</vt:lpstr>
      <vt:lpstr>Tr.2</vt:lpstr>
      <vt:lpstr>Tsat.D</vt:lpstr>
      <vt:lpstr>Tsat.F</vt:lpstr>
      <vt:lpstr>Tsat.G</vt:lpstr>
      <vt:lpstr>Tsat.G1</vt:lpstr>
      <vt:lpstr>Tsat.W</vt:lpstr>
      <vt:lpstr>U1.LTc</vt:lpstr>
      <vt:lpstr>U1C1</vt:lpstr>
      <vt:lpstr>U1C2</vt:lpstr>
      <vt:lpstr>U1C3</vt:lpstr>
      <vt:lpstr>U1C4</vt:lpstr>
      <vt:lpstr>U1C5</vt:lpstr>
      <vt:lpstr>U1L1</vt:lpstr>
      <vt:lpstr>U1L2</vt:lpstr>
      <vt:lpstr>U1L3</vt:lpstr>
      <vt:lpstr>U1L4</vt:lpstr>
      <vt:lpstr>U2.LTc</vt:lpstr>
      <vt:lpstr>U2C1</vt:lpstr>
      <vt:lpstr>U2C2</vt:lpstr>
      <vt:lpstr>U2C3</vt:lpstr>
      <vt:lpstr>U2C4</vt:lpstr>
      <vt:lpstr>U2C5</vt:lpstr>
      <vt:lpstr>U2L1</vt:lpstr>
      <vt:lpstr>U2L2</vt:lpstr>
      <vt:lpstr>U2L3</vt:lpstr>
      <vt:lpstr>U2L4</vt:lpstr>
      <vt:lpstr>User.Comp1</vt:lpstr>
      <vt:lpstr>User.Comp2</vt:lpstr>
      <vt:lpstr>User.M1</vt:lpstr>
      <vt:lpstr>User.M2</vt:lpstr>
      <vt:lpstr>User.Ptrab</vt:lpstr>
      <vt:lpstr>x.ascendente</vt:lpstr>
      <vt:lpstr>x.descendente</vt:lpstr>
      <vt:lpstr>xD</vt:lpstr>
      <vt:lpstr>xD.user</vt:lpstr>
      <vt:lpstr>xW</vt:lpstr>
      <vt:lpstr>xW.user</vt:lpstr>
      <vt:lpstr>y.ascendente</vt:lpstr>
      <vt:lpstr>y.descendente</vt:lpstr>
      <vt:lpstr>y.G1</vt:lpstr>
      <vt:lpstr>yG</vt:lpstr>
      <vt:lpstr>zF</vt:lpstr>
      <vt:lpstr>zF.user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Monroy</dc:creator>
  <cp:lastModifiedBy>HeFerXuVi</cp:lastModifiedBy>
  <dcterms:created xsi:type="dcterms:W3CDTF">2017-09-29T05:04:58Z</dcterms:created>
  <dcterms:modified xsi:type="dcterms:W3CDTF">2018-02-15T23:57:35Z</dcterms:modified>
</cp:coreProperties>
</file>